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440" windowHeight="8010"/>
  </bookViews>
  <sheets>
    <sheet name="Пн1" sheetId="1" r:id="rId1"/>
    <sheet name="Пн1 (2)" sheetId="14" r:id="rId2"/>
    <sheet name="Вт1" sheetId="5" r:id="rId3"/>
    <sheet name="Вт1 (2)" sheetId="15" r:id="rId4"/>
    <sheet name="Ср1" sheetId="6" r:id="rId5"/>
    <sheet name="Ср1 (2)" sheetId="16" r:id="rId6"/>
    <sheet name="Чт1" sheetId="7" r:id="rId7"/>
    <sheet name="Чт1 (2)" sheetId="17" r:id="rId8"/>
    <sheet name="Пт1" sheetId="8" r:id="rId9"/>
    <sheet name="Пт1 (2)" sheetId="18" r:id="rId10"/>
    <sheet name="Пн2" sheetId="9" r:id="rId11"/>
    <sheet name="Пн2 (2)" sheetId="19" r:id="rId12"/>
    <sheet name="Вт2" sheetId="10" r:id="rId13"/>
    <sheet name="Вт2 (2)" sheetId="20" r:id="rId14"/>
    <sheet name="Ср2" sheetId="11" r:id="rId15"/>
    <sheet name="Ср2 (2)" sheetId="21" r:id="rId16"/>
    <sheet name="Чт2" sheetId="12" r:id="rId17"/>
    <sheet name="Чт2 (2)" sheetId="22" r:id="rId18"/>
    <sheet name="Пт2" sheetId="13" r:id="rId19"/>
    <sheet name="Пт2 (2)" sheetId="23" r:id="rId20"/>
    <sheet name="Лист2" sheetId="2" r:id="rId21"/>
    <sheet name="Лист3" sheetId="3" r:id="rId22"/>
    <sheet name="Лист4" sheetId="4" r:id="rId23"/>
  </sheets>
  <calcPr calcId="145621" refMode="R1C1"/>
</workbook>
</file>

<file path=xl/calcChain.xml><?xml version="1.0" encoding="utf-8"?>
<calcChain xmlns="http://schemas.openxmlformats.org/spreadsheetml/2006/main">
  <c r="C24" i="23" l="1"/>
  <c r="C24" i="13"/>
  <c r="C14" i="23"/>
  <c r="C25" i="23" s="1"/>
  <c r="C14" i="13"/>
  <c r="C25" i="13" s="1"/>
  <c r="C25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5" i="22"/>
  <c r="C26" i="22" s="1"/>
  <c r="C25" i="12"/>
  <c r="C15" i="12"/>
  <c r="C26" i="12" s="1"/>
  <c r="C26" i="21" l="1"/>
  <c r="C16" i="21"/>
  <c r="C27" i="21" s="1"/>
  <c r="C26" i="11"/>
  <c r="C16" i="11"/>
  <c r="C27" i="11" s="1"/>
  <c r="C23" i="20"/>
  <c r="C23" i="10"/>
  <c r="C14" i="20"/>
  <c r="C24" i="20" s="1"/>
  <c r="C14" i="10"/>
  <c r="C24" i="10" s="1"/>
  <c r="C26" i="19"/>
  <c r="C16" i="19"/>
  <c r="C27" i="19" s="1"/>
  <c r="C25" i="9"/>
  <c r="C15" i="9"/>
  <c r="C26" i="9" s="1"/>
  <c r="C26" i="18"/>
  <c r="C27" i="18" s="1"/>
  <c r="C26" i="8"/>
  <c r="C27" i="8" s="1"/>
  <c r="C24" i="17"/>
  <c r="C14" i="17"/>
  <c r="C25" i="17" s="1"/>
  <c r="C24" i="7"/>
  <c r="C14" i="7"/>
  <c r="C25" i="7" s="1"/>
  <c r="C23" i="16"/>
  <c r="C14" i="16"/>
  <c r="C24" i="16" s="1"/>
  <c r="C23" i="6"/>
  <c r="C14" i="6"/>
  <c r="C24" i="15"/>
  <c r="C15" i="15"/>
  <c r="C24" i="5"/>
  <c r="C25" i="5" s="1"/>
  <c r="C15" i="5"/>
  <c r="C25" i="14"/>
  <c r="C26" i="14" s="1"/>
  <c r="C15" i="14"/>
  <c r="C25" i="1"/>
  <c r="C15" i="1"/>
  <c r="O16" i="20"/>
  <c r="N16" i="20"/>
  <c r="M16" i="20"/>
  <c r="L16" i="20"/>
  <c r="K16" i="20"/>
  <c r="I16" i="20"/>
  <c r="H16" i="20"/>
  <c r="G16" i="20"/>
  <c r="F16" i="20"/>
  <c r="E16" i="20"/>
  <c r="D16" i="20"/>
  <c r="O16" i="10"/>
  <c r="N16" i="10"/>
  <c r="M16" i="10"/>
  <c r="L16" i="10"/>
  <c r="K16" i="10"/>
  <c r="I16" i="10"/>
  <c r="H16" i="10"/>
  <c r="G16" i="10"/>
  <c r="F16" i="10"/>
  <c r="E16" i="10"/>
  <c r="D16" i="10"/>
  <c r="O16" i="17"/>
  <c r="N16" i="17"/>
  <c r="M16" i="17"/>
  <c r="L16" i="17"/>
  <c r="K16" i="17"/>
  <c r="I16" i="17"/>
  <c r="H16" i="17"/>
  <c r="G16" i="17"/>
  <c r="F16" i="17"/>
  <c r="E16" i="17"/>
  <c r="D16" i="17"/>
  <c r="O16" i="7"/>
  <c r="N16" i="7"/>
  <c r="M16" i="7"/>
  <c r="L16" i="7"/>
  <c r="K16" i="7"/>
  <c r="I16" i="7"/>
  <c r="H16" i="7"/>
  <c r="G16" i="7"/>
  <c r="F16" i="7"/>
  <c r="E16" i="7"/>
  <c r="D16" i="7"/>
  <c r="O9" i="15"/>
  <c r="N9" i="15"/>
  <c r="M9" i="15"/>
  <c r="L9" i="15"/>
  <c r="K9" i="15"/>
  <c r="I9" i="15"/>
  <c r="H9" i="15"/>
  <c r="G9" i="15"/>
  <c r="F9" i="15"/>
  <c r="E9" i="15"/>
  <c r="D9" i="15"/>
  <c r="O9" i="5"/>
  <c r="N9" i="5"/>
  <c r="M9" i="5"/>
  <c r="L9" i="5"/>
  <c r="K9" i="5"/>
  <c r="I9" i="5"/>
  <c r="H9" i="5"/>
  <c r="G9" i="5"/>
  <c r="F9" i="5"/>
  <c r="E9" i="5"/>
  <c r="D9" i="5"/>
  <c r="O17" i="12"/>
  <c r="N17" i="12"/>
  <c r="M17" i="12"/>
  <c r="L17" i="12"/>
  <c r="K17" i="12"/>
  <c r="J17" i="12"/>
  <c r="I17" i="12"/>
  <c r="H17" i="12"/>
  <c r="G17" i="12"/>
  <c r="F17" i="12"/>
  <c r="E17" i="12"/>
  <c r="D17" i="12"/>
  <c r="O17" i="14"/>
  <c r="N17" i="14"/>
  <c r="M17" i="14"/>
  <c r="L17" i="14"/>
  <c r="K17" i="14"/>
  <c r="I17" i="14"/>
  <c r="H17" i="14"/>
  <c r="G17" i="14"/>
  <c r="F17" i="14"/>
  <c r="E17" i="14"/>
  <c r="D17" i="14"/>
  <c r="O17" i="1"/>
  <c r="N17" i="1"/>
  <c r="M17" i="1"/>
  <c r="L17" i="1"/>
  <c r="K17" i="1"/>
  <c r="I17" i="1"/>
  <c r="H17" i="1"/>
  <c r="G17" i="1"/>
  <c r="F17" i="1"/>
  <c r="E17" i="1"/>
  <c r="D17" i="1"/>
  <c r="O18" i="17"/>
  <c r="N18" i="17"/>
  <c r="M18" i="17"/>
  <c r="L18" i="17"/>
  <c r="K18" i="17"/>
  <c r="J18" i="17"/>
  <c r="H18" i="17"/>
  <c r="G18" i="17"/>
  <c r="F18" i="17"/>
  <c r="E18" i="17"/>
  <c r="D18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O17" i="6"/>
  <c r="N17" i="6"/>
  <c r="M17" i="6"/>
  <c r="L17" i="6"/>
  <c r="K17" i="6"/>
  <c r="J17" i="6"/>
  <c r="I17" i="6"/>
  <c r="H17" i="6"/>
  <c r="G17" i="6"/>
  <c r="F17" i="6"/>
  <c r="E17" i="6"/>
  <c r="D17" i="6"/>
  <c r="O17" i="16"/>
  <c r="N17" i="16"/>
  <c r="M17" i="16"/>
  <c r="L17" i="16"/>
  <c r="K17" i="16"/>
  <c r="J17" i="16"/>
  <c r="I17" i="16"/>
  <c r="H17" i="16"/>
  <c r="G17" i="16"/>
  <c r="F17" i="16"/>
  <c r="E17" i="16"/>
  <c r="D17" i="16"/>
  <c r="O17" i="7"/>
  <c r="N17" i="7"/>
  <c r="M17" i="7"/>
  <c r="L17" i="7"/>
  <c r="K17" i="7"/>
  <c r="J17" i="7"/>
  <c r="I17" i="7"/>
  <c r="H17" i="7"/>
  <c r="G17" i="7"/>
  <c r="F17" i="7"/>
  <c r="E17" i="7"/>
  <c r="D17" i="7"/>
  <c r="O17" i="5"/>
  <c r="N17" i="5"/>
  <c r="M17" i="5"/>
  <c r="L17" i="5"/>
  <c r="K17" i="5"/>
  <c r="J17" i="5"/>
  <c r="I17" i="5"/>
  <c r="H17" i="5"/>
  <c r="G17" i="5"/>
  <c r="F17" i="5"/>
  <c r="E17" i="5"/>
  <c r="D17" i="5"/>
  <c r="O19" i="13"/>
  <c r="N19" i="13"/>
  <c r="M19" i="13"/>
  <c r="L19" i="13"/>
  <c r="K19" i="13"/>
  <c r="J19" i="13"/>
  <c r="I19" i="13"/>
  <c r="H19" i="13"/>
  <c r="G19" i="13"/>
  <c r="F19" i="13"/>
  <c r="E19" i="13"/>
  <c r="D19" i="13"/>
  <c r="O19" i="22"/>
  <c r="N19" i="22"/>
  <c r="M19" i="22"/>
  <c r="L19" i="22"/>
  <c r="K19" i="22"/>
  <c r="J19" i="22"/>
  <c r="I19" i="22"/>
  <c r="H19" i="22"/>
  <c r="G19" i="22"/>
  <c r="F19" i="22"/>
  <c r="E19" i="22"/>
  <c r="D19" i="22"/>
  <c r="O19" i="12"/>
  <c r="N19" i="12"/>
  <c r="M19" i="12"/>
  <c r="L19" i="12"/>
  <c r="K19" i="12"/>
  <c r="J19" i="12"/>
  <c r="I19" i="12"/>
  <c r="H19" i="12"/>
  <c r="G19" i="12"/>
  <c r="F19" i="12"/>
  <c r="E19" i="12"/>
  <c r="D19" i="12"/>
  <c r="O19" i="23"/>
  <c r="N19" i="23"/>
  <c r="M19" i="23"/>
  <c r="L19" i="23"/>
  <c r="K19" i="23"/>
  <c r="J19" i="23"/>
  <c r="I19" i="23"/>
  <c r="H19" i="23"/>
  <c r="G19" i="23"/>
  <c r="F19" i="23"/>
  <c r="E19" i="23"/>
  <c r="D19" i="23"/>
  <c r="O21" i="18"/>
  <c r="N21" i="18"/>
  <c r="M21" i="18"/>
  <c r="L21" i="18"/>
  <c r="K21" i="18"/>
  <c r="J21" i="18"/>
  <c r="H21" i="18"/>
  <c r="G21" i="18"/>
  <c r="F21" i="18"/>
  <c r="E21" i="18"/>
  <c r="D21" i="18"/>
  <c r="O21" i="8"/>
  <c r="N21" i="8"/>
  <c r="M21" i="8"/>
  <c r="L21" i="8"/>
  <c r="K21" i="8"/>
  <c r="J21" i="8"/>
  <c r="H21" i="8"/>
  <c r="G21" i="8"/>
  <c r="F21" i="8"/>
  <c r="E21" i="8"/>
  <c r="D21" i="8"/>
  <c r="O19" i="15"/>
  <c r="N19" i="15"/>
  <c r="M19" i="15"/>
  <c r="L19" i="15"/>
  <c r="K19" i="15"/>
  <c r="J19" i="15"/>
  <c r="H19" i="15"/>
  <c r="G19" i="15"/>
  <c r="F19" i="15"/>
  <c r="E19" i="15"/>
  <c r="D19" i="15"/>
  <c r="I15" i="1"/>
  <c r="O18" i="23"/>
  <c r="N18" i="23"/>
  <c r="M18" i="23"/>
  <c r="L18" i="23"/>
  <c r="J18" i="23"/>
  <c r="H18" i="23"/>
  <c r="G18" i="23"/>
  <c r="F18" i="23"/>
  <c r="E18" i="23"/>
  <c r="D18" i="23"/>
  <c r="O18" i="13"/>
  <c r="N18" i="13"/>
  <c r="M18" i="13"/>
  <c r="L18" i="13"/>
  <c r="J18" i="13"/>
  <c r="H18" i="13"/>
  <c r="G18" i="13"/>
  <c r="F18" i="13"/>
  <c r="E18" i="13"/>
  <c r="D18" i="13"/>
  <c r="O18" i="20"/>
  <c r="O23" i="20" s="1"/>
  <c r="N18" i="20"/>
  <c r="M18" i="20"/>
  <c r="L18" i="20"/>
  <c r="K18" i="20"/>
  <c r="J18" i="20"/>
  <c r="I18" i="20"/>
  <c r="H18" i="20"/>
  <c r="G18" i="20"/>
  <c r="F18" i="20"/>
  <c r="E18" i="20"/>
  <c r="D18" i="20"/>
  <c r="O18" i="10"/>
  <c r="N18" i="10"/>
  <c r="M18" i="10"/>
  <c r="L18" i="10"/>
  <c r="K18" i="10"/>
  <c r="J18" i="10"/>
  <c r="I18" i="10"/>
  <c r="H18" i="10"/>
  <c r="G18" i="10"/>
  <c r="F18" i="10"/>
  <c r="E18" i="10"/>
  <c r="D18" i="10"/>
  <c r="O17" i="23"/>
  <c r="N17" i="23"/>
  <c r="M17" i="23"/>
  <c r="L17" i="23"/>
  <c r="K17" i="23"/>
  <c r="J17" i="23"/>
  <c r="I17" i="23"/>
  <c r="H17" i="23"/>
  <c r="G17" i="23"/>
  <c r="F17" i="23"/>
  <c r="E17" i="23"/>
  <c r="D17" i="23"/>
  <c r="O16" i="23"/>
  <c r="O24" i="23" s="1"/>
  <c r="N16" i="23"/>
  <c r="M16" i="23"/>
  <c r="M24" i="23" s="1"/>
  <c r="L16" i="23"/>
  <c r="K16" i="23"/>
  <c r="K24" i="23" s="1"/>
  <c r="I16" i="23"/>
  <c r="H16" i="23"/>
  <c r="G16" i="23"/>
  <c r="F16" i="23"/>
  <c r="E16" i="23"/>
  <c r="D16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O18" i="22"/>
  <c r="N18" i="22"/>
  <c r="N25" i="22" s="1"/>
  <c r="M18" i="22"/>
  <c r="M25" i="22" s="1"/>
  <c r="L18" i="22"/>
  <c r="L25" i="22" s="1"/>
  <c r="K18" i="22"/>
  <c r="J18" i="22"/>
  <c r="J25" i="22" s="1"/>
  <c r="I18" i="22"/>
  <c r="I25" i="22" s="1"/>
  <c r="H18" i="22"/>
  <c r="H25" i="22" s="1"/>
  <c r="G18" i="22"/>
  <c r="F18" i="22"/>
  <c r="F25" i="22" s="1"/>
  <c r="E18" i="22"/>
  <c r="E25" i="22" s="1"/>
  <c r="D18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O20" i="21"/>
  <c r="N20" i="21"/>
  <c r="M20" i="21"/>
  <c r="L20" i="21"/>
  <c r="K20" i="21"/>
  <c r="J20" i="21"/>
  <c r="H20" i="21"/>
  <c r="G21" i="21"/>
  <c r="F21" i="21"/>
  <c r="E21" i="21"/>
  <c r="D21" i="21"/>
  <c r="O18" i="21"/>
  <c r="N18" i="21"/>
  <c r="M18" i="21"/>
  <c r="L18" i="21"/>
  <c r="K18" i="21"/>
  <c r="J18" i="21"/>
  <c r="I18" i="21"/>
  <c r="H18" i="21"/>
  <c r="G19" i="21"/>
  <c r="F19" i="21"/>
  <c r="E19" i="21"/>
  <c r="D19" i="21"/>
  <c r="G18" i="21"/>
  <c r="F18" i="21"/>
  <c r="E18" i="21"/>
  <c r="D18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O10" i="21"/>
  <c r="N10" i="21"/>
  <c r="M10" i="21"/>
  <c r="L10" i="21"/>
  <c r="K10" i="21"/>
  <c r="J10" i="21"/>
  <c r="H10" i="21"/>
  <c r="G10" i="21"/>
  <c r="F10" i="21"/>
  <c r="E10" i="21"/>
  <c r="D10" i="21"/>
  <c r="O9" i="21"/>
  <c r="N9" i="21"/>
  <c r="M9" i="21"/>
  <c r="L9" i="21"/>
  <c r="I9" i="21"/>
  <c r="G9" i="21"/>
  <c r="F9" i="21"/>
  <c r="F16" i="21" s="1"/>
  <c r="E9" i="21"/>
  <c r="D9" i="21"/>
  <c r="O19" i="20"/>
  <c r="N19" i="20"/>
  <c r="M19" i="20"/>
  <c r="L19" i="20"/>
  <c r="K19" i="20"/>
  <c r="J19" i="20"/>
  <c r="I19" i="20"/>
  <c r="H19" i="20"/>
  <c r="G19" i="20"/>
  <c r="F19" i="20"/>
  <c r="E19" i="20"/>
  <c r="D19" i="20"/>
  <c r="O17" i="20"/>
  <c r="N17" i="20"/>
  <c r="N23" i="20" s="1"/>
  <c r="M17" i="20"/>
  <c r="L17" i="20"/>
  <c r="K17" i="20"/>
  <c r="J17" i="20"/>
  <c r="I17" i="20"/>
  <c r="H17" i="20"/>
  <c r="G17" i="20"/>
  <c r="F17" i="20"/>
  <c r="E17" i="20"/>
  <c r="D17" i="20"/>
  <c r="K23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O21" i="19"/>
  <c r="N21" i="19"/>
  <c r="M21" i="19"/>
  <c r="L21" i="19"/>
  <c r="K21" i="19"/>
  <c r="J21" i="19"/>
  <c r="I21" i="19"/>
  <c r="H21" i="19"/>
  <c r="G21" i="19"/>
  <c r="F21" i="19"/>
  <c r="E21" i="19"/>
  <c r="D21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O19" i="19"/>
  <c r="N19" i="19"/>
  <c r="M19" i="19"/>
  <c r="L19" i="19"/>
  <c r="K19" i="19"/>
  <c r="J19" i="19"/>
  <c r="J26" i="19" s="1"/>
  <c r="I19" i="19"/>
  <c r="H19" i="19"/>
  <c r="G19" i="19"/>
  <c r="F19" i="19"/>
  <c r="E19" i="19"/>
  <c r="D19" i="19"/>
  <c r="O18" i="19"/>
  <c r="O26" i="19" s="1"/>
  <c r="N18" i="19"/>
  <c r="N26" i="19" s="1"/>
  <c r="M18" i="19"/>
  <c r="M26" i="19" s="1"/>
  <c r="L18" i="19"/>
  <c r="L26" i="19" s="1"/>
  <c r="K18" i="19"/>
  <c r="K26" i="19" s="1"/>
  <c r="I18" i="19"/>
  <c r="H18" i="19"/>
  <c r="G18" i="19"/>
  <c r="F18" i="19"/>
  <c r="E18" i="19"/>
  <c r="D18" i="19"/>
  <c r="O11" i="19"/>
  <c r="N11" i="19"/>
  <c r="M11" i="19"/>
  <c r="L11" i="19"/>
  <c r="K11" i="19"/>
  <c r="J11" i="19"/>
  <c r="J16" i="19" s="1"/>
  <c r="H11" i="19"/>
  <c r="G11" i="19"/>
  <c r="F11" i="19"/>
  <c r="E11" i="19"/>
  <c r="D11" i="19"/>
  <c r="O9" i="19"/>
  <c r="N9" i="19"/>
  <c r="M9" i="19"/>
  <c r="L9" i="19"/>
  <c r="K9" i="19"/>
  <c r="I9" i="19"/>
  <c r="I16" i="19" s="1"/>
  <c r="H9" i="19"/>
  <c r="G9" i="19"/>
  <c r="G16" i="19" s="1"/>
  <c r="F9" i="19"/>
  <c r="E9" i="19"/>
  <c r="E16" i="19" s="1"/>
  <c r="D9" i="19"/>
  <c r="O19" i="18"/>
  <c r="N19" i="18"/>
  <c r="M19" i="18"/>
  <c r="L19" i="18"/>
  <c r="K19" i="18"/>
  <c r="J19" i="18"/>
  <c r="I19" i="18"/>
  <c r="H19" i="18"/>
  <c r="G19" i="18"/>
  <c r="F19" i="18"/>
  <c r="E19" i="18"/>
  <c r="D19" i="18"/>
  <c r="O18" i="18"/>
  <c r="O26" i="18" s="1"/>
  <c r="N18" i="18"/>
  <c r="M18" i="18"/>
  <c r="M26" i="18" s="1"/>
  <c r="L18" i="18"/>
  <c r="K18" i="18"/>
  <c r="K26" i="18" s="1"/>
  <c r="J18" i="18"/>
  <c r="I18" i="18"/>
  <c r="I26" i="18" s="1"/>
  <c r="H18" i="18"/>
  <c r="H26" i="18" s="1"/>
  <c r="G18" i="18"/>
  <c r="F18" i="18"/>
  <c r="F26" i="18" s="1"/>
  <c r="E18" i="18"/>
  <c r="D18" i="18"/>
  <c r="D26" i="18" s="1"/>
  <c r="O11" i="18"/>
  <c r="N11" i="18"/>
  <c r="M11" i="18"/>
  <c r="M16" i="18" s="1"/>
  <c r="M27" i="18" s="1"/>
  <c r="L11" i="18"/>
  <c r="K11" i="18"/>
  <c r="K16" i="18" s="1"/>
  <c r="K27" i="18" s="1"/>
  <c r="J11" i="18"/>
  <c r="J16" i="18" s="1"/>
  <c r="H11" i="18"/>
  <c r="G11" i="18"/>
  <c r="F11" i="18"/>
  <c r="E11" i="18"/>
  <c r="D11" i="18"/>
  <c r="O9" i="18"/>
  <c r="N9" i="18"/>
  <c r="N16" i="18" s="1"/>
  <c r="M9" i="18"/>
  <c r="L9" i="18"/>
  <c r="L16" i="18" s="1"/>
  <c r="I9" i="18"/>
  <c r="I16" i="18" s="1"/>
  <c r="H9" i="18"/>
  <c r="G9" i="18"/>
  <c r="F9" i="18"/>
  <c r="F16" i="18" s="1"/>
  <c r="E9" i="18"/>
  <c r="E16" i="18" s="1"/>
  <c r="D9" i="18"/>
  <c r="O19" i="17"/>
  <c r="N19" i="17"/>
  <c r="M19" i="17"/>
  <c r="L19" i="17"/>
  <c r="K19" i="17"/>
  <c r="J19" i="17"/>
  <c r="J24" i="17" s="1"/>
  <c r="I19" i="17"/>
  <c r="H19" i="17"/>
  <c r="G19" i="17"/>
  <c r="F19" i="17"/>
  <c r="E19" i="17"/>
  <c r="D19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O16" i="16"/>
  <c r="O23" i="16" s="1"/>
  <c r="N16" i="16"/>
  <c r="N23" i="16" s="1"/>
  <c r="M16" i="16"/>
  <c r="M23" i="16" s="1"/>
  <c r="L16" i="16"/>
  <c r="L23" i="16" s="1"/>
  <c r="K16" i="16"/>
  <c r="K23" i="16" s="1"/>
  <c r="J16" i="16"/>
  <c r="J23" i="16" s="1"/>
  <c r="I16" i="16"/>
  <c r="I23" i="16" s="1"/>
  <c r="H16" i="16"/>
  <c r="H23" i="16" s="1"/>
  <c r="G16" i="16"/>
  <c r="G23" i="16" s="1"/>
  <c r="F16" i="16"/>
  <c r="F23" i="16" s="1"/>
  <c r="E16" i="16"/>
  <c r="E23" i="16" s="1"/>
  <c r="D16" i="16"/>
  <c r="D23" i="16" s="1"/>
  <c r="O14" i="16"/>
  <c r="O24" i="16" s="1"/>
  <c r="N14" i="16"/>
  <c r="N24" i="16" s="1"/>
  <c r="M14" i="16"/>
  <c r="M24" i="16" s="1"/>
  <c r="L14" i="16"/>
  <c r="L24" i="16" s="1"/>
  <c r="K14" i="16"/>
  <c r="K24" i="16" s="1"/>
  <c r="J14" i="16"/>
  <c r="J24" i="16" s="1"/>
  <c r="I14" i="16"/>
  <c r="I24" i="16" s="1"/>
  <c r="H14" i="16"/>
  <c r="H24" i="16" s="1"/>
  <c r="G14" i="16"/>
  <c r="G24" i="16" s="1"/>
  <c r="F14" i="16"/>
  <c r="F24" i="16" s="1"/>
  <c r="E14" i="16"/>
  <c r="E24" i="16" s="1"/>
  <c r="D14" i="16"/>
  <c r="D24" i="16" s="1"/>
  <c r="O18" i="15"/>
  <c r="N18" i="15"/>
  <c r="M18" i="15"/>
  <c r="L18" i="15"/>
  <c r="K18" i="15"/>
  <c r="J18" i="15"/>
  <c r="I18" i="15"/>
  <c r="H18" i="15"/>
  <c r="H24" i="15" s="1"/>
  <c r="G18" i="15"/>
  <c r="F18" i="15"/>
  <c r="E18" i="15"/>
  <c r="D18" i="15"/>
  <c r="D24" i="15" s="1"/>
  <c r="F24" i="15"/>
  <c r="O10" i="15"/>
  <c r="N10" i="15"/>
  <c r="M10" i="15"/>
  <c r="L10" i="15"/>
  <c r="K10" i="15"/>
  <c r="J10" i="15"/>
  <c r="J15" i="15" s="1"/>
  <c r="I10" i="15"/>
  <c r="H10" i="15"/>
  <c r="G10" i="15"/>
  <c r="F10" i="15"/>
  <c r="E10" i="15"/>
  <c r="D10" i="15"/>
  <c r="O15" i="15"/>
  <c r="L15" i="15"/>
  <c r="K15" i="15"/>
  <c r="O20" i="14"/>
  <c r="N20" i="14"/>
  <c r="M20" i="14"/>
  <c r="L20" i="14"/>
  <c r="K20" i="14"/>
  <c r="J20" i="14"/>
  <c r="I20" i="14"/>
  <c r="H20" i="14"/>
  <c r="G20" i="14"/>
  <c r="F20" i="14"/>
  <c r="E20" i="14"/>
  <c r="D20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O18" i="14"/>
  <c r="N18" i="14"/>
  <c r="M18" i="14"/>
  <c r="L18" i="14"/>
  <c r="K18" i="14"/>
  <c r="K25" i="14" s="1"/>
  <c r="J18" i="14"/>
  <c r="J25" i="14" s="1"/>
  <c r="I18" i="14"/>
  <c r="I25" i="14" s="1"/>
  <c r="H18" i="14"/>
  <c r="G18" i="14"/>
  <c r="F18" i="14"/>
  <c r="E18" i="14"/>
  <c r="D18" i="14"/>
  <c r="O25" i="14"/>
  <c r="N25" i="14"/>
  <c r="M25" i="14"/>
  <c r="I15" i="14"/>
  <c r="O11" i="14"/>
  <c r="O15" i="14" s="1"/>
  <c r="N11" i="14"/>
  <c r="N15" i="14" s="1"/>
  <c r="M11" i="14"/>
  <c r="M15" i="14" s="1"/>
  <c r="L11" i="14"/>
  <c r="L15" i="14" s="1"/>
  <c r="K11" i="14"/>
  <c r="K15" i="14" s="1"/>
  <c r="J11" i="14"/>
  <c r="J15" i="14" s="1"/>
  <c r="H11" i="14"/>
  <c r="H15" i="14" s="1"/>
  <c r="G11" i="14"/>
  <c r="G15" i="14" s="1"/>
  <c r="F11" i="14"/>
  <c r="F15" i="14" s="1"/>
  <c r="E11" i="14"/>
  <c r="E15" i="14" s="1"/>
  <c r="D11" i="14"/>
  <c r="D15" i="14" s="1"/>
  <c r="O16" i="13"/>
  <c r="N16" i="13"/>
  <c r="M16" i="13"/>
  <c r="M24" i="13" s="1"/>
  <c r="M25" i="13" s="1"/>
  <c r="L16" i="13"/>
  <c r="K16" i="13"/>
  <c r="I16" i="13"/>
  <c r="H16" i="13"/>
  <c r="G16" i="13"/>
  <c r="F16" i="13"/>
  <c r="E16" i="13"/>
  <c r="D16" i="13"/>
  <c r="O17" i="13"/>
  <c r="N17" i="13"/>
  <c r="M17" i="13"/>
  <c r="L17" i="13"/>
  <c r="L24" i="13" s="1"/>
  <c r="K17" i="13"/>
  <c r="J17" i="13"/>
  <c r="J24" i="13" s="1"/>
  <c r="I17" i="13"/>
  <c r="I24" i="13" s="1"/>
  <c r="H17" i="13"/>
  <c r="H24" i="13" s="1"/>
  <c r="G17" i="13"/>
  <c r="G24" i="13" s="1"/>
  <c r="F17" i="13"/>
  <c r="F24" i="13" s="1"/>
  <c r="E17" i="13"/>
  <c r="E24" i="13" s="1"/>
  <c r="D17" i="13"/>
  <c r="D24" i="13" s="1"/>
  <c r="O14" i="13"/>
  <c r="N14" i="13"/>
  <c r="M14" i="13"/>
  <c r="L14" i="13"/>
  <c r="K14" i="13"/>
  <c r="J14" i="13"/>
  <c r="I14" i="13"/>
  <c r="H14" i="13"/>
  <c r="G14" i="13"/>
  <c r="F14" i="13"/>
  <c r="E14" i="13"/>
  <c r="D14" i="13"/>
  <c r="O18" i="12"/>
  <c r="N18" i="12"/>
  <c r="M18" i="12"/>
  <c r="M25" i="12" s="1"/>
  <c r="L18" i="12"/>
  <c r="L25" i="12" s="1"/>
  <c r="K18" i="12"/>
  <c r="J18" i="12"/>
  <c r="I18" i="12"/>
  <c r="I25" i="12" s="1"/>
  <c r="H18" i="12"/>
  <c r="H25" i="12" s="1"/>
  <c r="G18" i="12"/>
  <c r="F18" i="12"/>
  <c r="E18" i="12"/>
  <c r="E25" i="12" s="1"/>
  <c r="D18" i="12"/>
  <c r="D25" i="12" s="1"/>
  <c r="G18" i="11"/>
  <c r="F18" i="11"/>
  <c r="E18" i="11"/>
  <c r="D18" i="11"/>
  <c r="O10" i="12"/>
  <c r="O15" i="12" s="1"/>
  <c r="N10" i="12"/>
  <c r="N15" i="12" s="1"/>
  <c r="M10" i="12"/>
  <c r="M15" i="12" s="1"/>
  <c r="L10" i="12"/>
  <c r="L15" i="12" s="1"/>
  <c r="K10" i="12"/>
  <c r="K15" i="12" s="1"/>
  <c r="J10" i="12"/>
  <c r="J15" i="12" s="1"/>
  <c r="I10" i="12"/>
  <c r="I15" i="12" s="1"/>
  <c r="H10" i="12"/>
  <c r="H15" i="12" s="1"/>
  <c r="G10" i="12"/>
  <c r="G15" i="12" s="1"/>
  <c r="F10" i="12"/>
  <c r="F15" i="12" s="1"/>
  <c r="E10" i="12"/>
  <c r="E15" i="12" s="1"/>
  <c r="D10" i="12"/>
  <c r="D15" i="12" s="1"/>
  <c r="O20" i="11"/>
  <c r="N20" i="11"/>
  <c r="M20" i="11"/>
  <c r="L20" i="11"/>
  <c r="K20" i="11"/>
  <c r="J20" i="11"/>
  <c r="H20" i="11"/>
  <c r="G21" i="11"/>
  <c r="F21" i="11"/>
  <c r="E21" i="11"/>
  <c r="D21" i="11"/>
  <c r="O18" i="11"/>
  <c r="N18" i="11"/>
  <c r="M18" i="11"/>
  <c r="L18" i="11"/>
  <c r="K18" i="11"/>
  <c r="J18" i="11"/>
  <c r="I18" i="11"/>
  <c r="H18" i="11"/>
  <c r="H25" i="11" s="1"/>
  <c r="G19" i="11"/>
  <c r="F19" i="11"/>
  <c r="E19" i="11"/>
  <c r="E26" i="11" s="1"/>
  <c r="D19" i="11"/>
  <c r="I25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O10" i="11"/>
  <c r="N10" i="11"/>
  <c r="M10" i="11"/>
  <c r="L10" i="11"/>
  <c r="K10" i="11"/>
  <c r="J10" i="11"/>
  <c r="H10" i="11"/>
  <c r="G10" i="11"/>
  <c r="F10" i="11"/>
  <c r="E10" i="11"/>
  <c r="D10" i="11"/>
  <c r="O9" i="11"/>
  <c r="N9" i="11"/>
  <c r="M9" i="11"/>
  <c r="L9" i="11"/>
  <c r="I9" i="11"/>
  <c r="G9" i="11"/>
  <c r="F9" i="11"/>
  <c r="E9" i="11"/>
  <c r="D9" i="11"/>
  <c r="O19" i="10"/>
  <c r="N19" i="10"/>
  <c r="M19" i="10"/>
  <c r="L19" i="10"/>
  <c r="K19" i="10"/>
  <c r="J19" i="10"/>
  <c r="I19" i="10"/>
  <c r="H19" i="10"/>
  <c r="G19" i="10"/>
  <c r="F19" i="10"/>
  <c r="E19" i="10"/>
  <c r="D19" i="10"/>
  <c r="O17" i="10"/>
  <c r="O23" i="10" s="1"/>
  <c r="N17" i="10"/>
  <c r="N23" i="10" s="1"/>
  <c r="M17" i="10"/>
  <c r="M23" i="10" s="1"/>
  <c r="L17" i="10"/>
  <c r="K17" i="10"/>
  <c r="K23" i="10" s="1"/>
  <c r="J17" i="10"/>
  <c r="J23" i="10" s="1"/>
  <c r="I17" i="10"/>
  <c r="I23" i="10" s="1"/>
  <c r="H17" i="10"/>
  <c r="G17" i="10"/>
  <c r="G23" i="10" s="1"/>
  <c r="F17" i="10"/>
  <c r="F23" i="10" s="1"/>
  <c r="E17" i="10"/>
  <c r="E23" i="10" s="1"/>
  <c r="D17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O20" i="9"/>
  <c r="N20" i="9"/>
  <c r="M20" i="9"/>
  <c r="L20" i="9"/>
  <c r="K20" i="9"/>
  <c r="J20" i="9"/>
  <c r="I20" i="9"/>
  <c r="H20" i="9"/>
  <c r="G20" i="9"/>
  <c r="F20" i="9"/>
  <c r="E20" i="9"/>
  <c r="D20" i="9"/>
  <c r="O19" i="9"/>
  <c r="N19" i="9"/>
  <c r="M19" i="9"/>
  <c r="L19" i="9"/>
  <c r="K19" i="9"/>
  <c r="J19" i="9"/>
  <c r="G19" i="9"/>
  <c r="H19" i="9"/>
  <c r="I19" i="9"/>
  <c r="F19" i="9"/>
  <c r="E19" i="9"/>
  <c r="D19" i="9"/>
  <c r="O18" i="9"/>
  <c r="N18" i="9"/>
  <c r="M18" i="9"/>
  <c r="L18" i="9"/>
  <c r="K18" i="9"/>
  <c r="J18" i="9"/>
  <c r="J25" i="9" s="1"/>
  <c r="I18" i="9"/>
  <c r="H18" i="9"/>
  <c r="G18" i="9"/>
  <c r="F18" i="9"/>
  <c r="E18" i="9"/>
  <c r="D18" i="9"/>
  <c r="O17" i="9"/>
  <c r="N17" i="9"/>
  <c r="M17" i="9"/>
  <c r="L17" i="9"/>
  <c r="K17" i="9"/>
  <c r="I17" i="9"/>
  <c r="H17" i="9"/>
  <c r="G17" i="9"/>
  <c r="F17" i="9"/>
  <c r="E17" i="9"/>
  <c r="D17" i="9"/>
  <c r="O9" i="9"/>
  <c r="N9" i="9"/>
  <c r="N15" i="9" s="1"/>
  <c r="M9" i="9"/>
  <c r="L9" i="9"/>
  <c r="L15" i="9" s="1"/>
  <c r="K9" i="9"/>
  <c r="I9" i="9"/>
  <c r="I15" i="9" s="1"/>
  <c r="H9" i="9"/>
  <c r="G9" i="9"/>
  <c r="G15" i="9" s="1"/>
  <c r="F9" i="9"/>
  <c r="E9" i="9"/>
  <c r="E15" i="9" s="1"/>
  <c r="D9" i="9"/>
  <c r="O11" i="9"/>
  <c r="N11" i="9"/>
  <c r="M11" i="9"/>
  <c r="L11" i="9"/>
  <c r="K11" i="9"/>
  <c r="J11" i="9"/>
  <c r="J15" i="9" s="1"/>
  <c r="H11" i="9"/>
  <c r="G11" i="9"/>
  <c r="F11" i="9"/>
  <c r="E11" i="9"/>
  <c r="D11" i="9"/>
  <c r="O19" i="7"/>
  <c r="N19" i="7"/>
  <c r="M19" i="7"/>
  <c r="L19" i="7"/>
  <c r="K19" i="7"/>
  <c r="J19" i="7"/>
  <c r="I19" i="7"/>
  <c r="H19" i="7"/>
  <c r="G19" i="7"/>
  <c r="F19" i="7"/>
  <c r="E19" i="7"/>
  <c r="D19" i="7"/>
  <c r="O18" i="7"/>
  <c r="N18" i="7"/>
  <c r="M18" i="7"/>
  <c r="L18" i="7"/>
  <c r="K18" i="7"/>
  <c r="J18" i="7"/>
  <c r="H18" i="7"/>
  <c r="G18" i="7"/>
  <c r="F18" i="7"/>
  <c r="E18" i="7"/>
  <c r="E24" i="7" s="1"/>
  <c r="D18" i="7"/>
  <c r="O16" i="6"/>
  <c r="O23" i="6" s="1"/>
  <c r="O24" i="6" s="1"/>
  <c r="N16" i="6"/>
  <c r="M16" i="6"/>
  <c r="M23" i="6" s="1"/>
  <c r="L16" i="6"/>
  <c r="K16" i="6"/>
  <c r="K23" i="6" s="1"/>
  <c r="K24" i="6" s="1"/>
  <c r="J16" i="6"/>
  <c r="I16" i="6"/>
  <c r="H16" i="6"/>
  <c r="G16" i="6"/>
  <c r="G23" i="6" s="1"/>
  <c r="G24" i="6" s="1"/>
  <c r="F16" i="6"/>
  <c r="E16" i="6"/>
  <c r="E23" i="6" s="1"/>
  <c r="D16" i="6"/>
  <c r="O19" i="5"/>
  <c r="O24" i="5" s="1"/>
  <c r="N19" i="5"/>
  <c r="M19" i="5"/>
  <c r="M24" i="5" s="1"/>
  <c r="L19" i="5"/>
  <c r="K19" i="5"/>
  <c r="J19" i="5"/>
  <c r="H19" i="5"/>
  <c r="G19" i="5"/>
  <c r="F19" i="5"/>
  <c r="E19" i="5"/>
  <c r="D19" i="5"/>
  <c r="O18" i="5"/>
  <c r="N18" i="5"/>
  <c r="M18" i="5"/>
  <c r="L18" i="5"/>
  <c r="K18" i="5"/>
  <c r="J18" i="5"/>
  <c r="I18" i="5"/>
  <c r="H18" i="5"/>
  <c r="G18" i="5"/>
  <c r="F18" i="5"/>
  <c r="E18" i="5"/>
  <c r="D18" i="5"/>
  <c r="O10" i="5"/>
  <c r="N10" i="5"/>
  <c r="N15" i="5" s="1"/>
  <c r="M10" i="5"/>
  <c r="L10" i="5"/>
  <c r="L15" i="5" s="1"/>
  <c r="K10" i="5"/>
  <c r="J10" i="5"/>
  <c r="J15" i="5" s="1"/>
  <c r="I10" i="5"/>
  <c r="I15" i="5" s="1"/>
  <c r="H10" i="5"/>
  <c r="G10" i="5"/>
  <c r="F10" i="5"/>
  <c r="E10" i="5"/>
  <c r="D10" i="5"/>
  <c r="D15" i="5" s="1"/>
  <c r="O20" i="1"/>
  <c r="N20" i="1"/>
  <c r="M20" i="1"/>
  <c r="L20" i="1"/>
  <c r="K20" i="1"/>
  <c r="J20" i="1"/>
  <c r="I20" i="1"/>
  <c r="H20" i="1"/>
  <c r="G20" i="1"/>
  <c r="F20" i="1"/>
  <c r="E20" i="1"/>
  <c r="D20" i="1"/>
  <c r="O19" i="1"/>
  <c r="N19" i="1"/>
  <c r="M19" i="1"/>
  <c r="L19" i="1"/>
  <c r="K19" i="1"/>
  <c r="J19" i="1"/>
  <c r="I19" i="1"/>
  <c r="H19" i="1"/>
  <c r="G19" i="1"/>
  <c r="F19" i="1"/>
  <c r="E19" i="1"/>
  <c r="D19" i="1"/>
  <c r="O18" i="1"/>
  <c r="O25" i="1" s="1"/>
  <c r="N18" i="1"/>
  <c r="M18" i="1"/>
  <c r="M25" i="1" s="1"/>
  <c r="L18" i="1"/>
  <c r="K18" i="1"/>
  <c r="K25" i="1" s="1"/>
  <c r="J18" i="1"/>
  <c r="I18" i="1"/>
  <c r="I25" i="1" s="1"/>
  <c r="I26" i="1" s="1"/>
  <c r="H18" i="1"/>
  <c r="H25" i="1" s="1"/>
  <c r="G18" i="1"/>
  <c r="G25" i="1" s="1"/>
  <c r="F18" i="1"/>
  <c r="F25" i="1" s="1"/>
  <c r="E18" i="1"/>
  <c r="E25" i="1" s="1"/>
  <c r="D18" i="1"/>
  <c r="D25" i="1" s="1"/>
  <c r="O11" i="1"/>
  <c r="O15" i="1" s="1"/>
  <c r="O26" i="1" s="1"/>
  <c r="N11" i="1"/>
  <c r="N15" i="1" s="1"/>
  <c r="M11" i="1"/>
  <c r="M15" i="1" s="1"/>
  <c r="M26" i="1" s="1"/>
  <c r="L11" i="1"/>
  <c r="L15" i="1" s="1"/>
  <c r="K11" i="1"/>
  <c r="K15" i="1" s="1"/>
  <c r="J11" i="1"/>
  <c r="J15" i="1" s="1"/>
  <c r="J25" i="1" s="1"/>
  <c r="H11" i="1"/>
  <c r="H15" i="1" s="1"/>
  <c r="G11" i="1"/>
  <c r="G15" i="1" s="1"/>
  <c r="F11" i="1"/>
  <c r="F15" i="1" s="1"/>
  <c r="E11" i="1"/>
  <c r="E15" i="1" s="1"/>
  <c r="D11" i="1"/>
  <c r="D15" i="1" s="1"/>
  <c r="O19" i="8"/>
  <c r="N19" i="8"/>
  <c r="M19" i="8"/>
  <c r="L19" i="8"/>
  <c r="K19" i="8"/>
  <c r="J19" i="8"/>
  <c r="I19" i="8"/>
  <c r="H19" i="8"/>
  <c r="G19" i="8"/>
  <c r="F19" i="8"/>
  <c r="E19" i="8"/>
  <c r="D19" i="8"/>
  <c r="O18" i="8"/>
  <c r="N18" i="8"/>
  <c r="M18" i="8"/>
  <c r="L18" i="8"/>
  <c r="K18" i="8"/>
  <c r="K26" i="8" s="1"/>
  <c r="J18" i="8"/>
  <c r="I18" i="8"/>
  <c r="H18" i="8"/>
  <c r="G18" i="8"/>
  <c r="F18" i="8"/>
  <c r="E18" i="8"/>
  <c r="D18" i="8"/>
  <c r="D11" i="8"/>
  <c r="O9" i="8"/>
  <c r="O16" i="8" s="1"/>
  <c r="L9" i="8"/>
  <c r="I9" i="8"/>
  <c r="I16" i="8" s="1"/>
  <c r="H9" i="8"/>
  <c r="H16" i="8" s="1"/>
  <c r="F9" i="8"/>
  <c r="D16" i="8"/>
  <c r="O11" i="8"/>
  <c r="N11" i="8"/>
  <c r="M11" i="8"/>
  <c r="L11" i="8"/>
  <c r="K11" i="8"/>
  <c r="K16" i="8" s="1"/>
  <c r="J11" i="8"/>
  <c r="J16" i="8" s="1"/>
  <c r="H11" i="8"/>
  <c r="G11" i="8"/>
  <c r="F11" i="8"/>
  <c r="E11" i="8"/>
  <c r="N9" i="8"/>
  <c r="M9" i="8"/>
  <c r="M16" i="8" s="1"/>
  <c r="G9" i="8"/>
  <c r="E9" i="8"/>
  <c r="E16" i="8" s="1"/>
  <c r="D9" i="8"/>
  <c r="L24" i="7"/>
  <c r="I24" i="7"/>
  <c r="O14" i="7"/>
  <c r="N14" i="7"/>
  <c r="M14" i="7"/>
  <c r="L14" i="7"/>
  <c r="K14" i="7"/>
  <c r="J14" i="7"/>
  <c r="I14" i="7"/>
  <c r="H14" i="7"/>
  <c r="G14" i="7"/>
  <c r="F14" i="7"/>
  <c r="E14" i="7"/>
  <c r="D14" i="7"/>
  <c r="N23" i="6"/>
  <c r="L23" i="6"/>
  <c r="J23" i="6"/>
  <c r="I23" i="6"/>
  <c r="H23" i="6"/>
  <c r="F23" i="6"/>
  <c r="D23" i="6"/>
  <c r="O14" i="6"/>
  <c r="N14" i="6"/>
  <c r="M14" i="6"/>
  <c r="L14" i="6"/>
  <c r="K14" i="6"/>
  <c r="J14" i="6"/>
  <c r="I14" i="6"/>
  <c r="H14" i="6"/>
  <c r="G14" i="6"/>
  <c r="F14" i="6"/>
  <c r="E14" i="6"/>
  <c r="D14" i="6"/>
  <c r="K24" i="5"/>
  <c r="I24" i="5"/>
  <c r="H24" i="5"/>
  <c r="G24" i="5"/>
  <c r="F24" i="5"/>
  <c r="O15" i="5"/>
  <c r="M15" i="5"/>
  <c r="H15" i="5"/>
  <c r="G15" i="5"/>
  <c r="F15" i="5"/>
  <c r="E15" i="5"/>
  <c r="G16" i="8" l="1"/>
  <c r="N16" i="8"/>
  <c r="F16" i="8"/>
  <c r="G24" i="7"/>
  <c r="D15" i="9"/>
  <c r="D26" i="9" s="1"/>
  <c r="F15" i="9"/>
  <c r="H15" i="9"/>
  <c r="H26" i="9" s="1"/>
  <c r="K15" i="9"/>
  <c r="M15" i="9"/>
  <c r="O15" i="9"/>
  <c r="F25" i="9"/>
  <c r="J25" i="11"/>
  <c r="N25" i="11"/>
  <c r="K25" i="11"/>
  <c r="I26" i="14"/>
  <c r="G16" i="18"/>
  <c r="J26" i="18"/>
  <c r="M23" i="20"/>
  <c r="K25" i="12"/>
  <c r="K26" i="12" s="1"/>
  <c r="O25" i="12"/>
  <c r="C26" i="1"/>
  <c r="C25" i="15"/>
  <c r="C24" i="6"/>
  <c r="L16" i="8"/>
  <c r="G25" i="22"/>
  <c r="G26" i="22" s="1"/>
  <c r="K25" i="22"/>
  <c r="O25" i="22"/>
  <c r="O26" i="22" s="1"/>
  <c r="D25" i="22"/>
  <c r="F26" i="22"/>
  <c r="J26" i="22"/>
  <c r="D26" i="22"/>
  <c r="H26" i="22"/>
  <c r="L26" i="22"/>
  <c r="N26" i="22"/>
  <c r="E26" i="22"/>
  <c r="I26" i="22"/>
  <c r="M26" i="22"/>
  <c r="K26" i="22"/>
  <c r="F25" i="12"/>
  <c r="J25" i="12"/>
  <c r="G25" i="12"/>
  <c r="G26" i="12" s="1"/>
  <c r="D26" i="21"/>
  <c r="M25" i="21"/>
  <c r="H25" i="21"/>
  <c r="M25" i="11"/>
  <c r="M26" i="11" s="1"/>
  <c r="M27" i="11" s="1"/>
  <c r="O25" i="11"/>
  <c r="F26" i="11"/>
  <c r="G26" i="11"/>
  <c r="E16" i="11"/>
  <c r="E27" i="11" s="1"/>
  <c r="L25" i="11"/>
  <c r="D24" i="6"/>
  <c r="H24" i="6"/>
  <c r="L24" i="6"/>
  <c r="F26" i="8"/>
  <c r="J26" i="8"/>
  <c r="J27" i="8" s="1"/>
  <c r="N26" i="8"/>
  <c r="J24" i="5"/>
  <c r="E25" i="9"/>
  <c r="E26" i="9" s="1"/>
  <c r="I25" i="9"/>
  <c r="I26" i="9" s="1"/>
  <c r="M25" i="9"/>
  <c r="D16" i="11"/>
  <c r="D16" i="21"/>
  <c r="D27" i="21" s="1"/>
  <c r="J25" i="21"/>
  <c r="J26" i="21" s="1"/>
  <c r="J27" i="21" s="1"/>
  <c r="N25" i="21"/>
  <c r="L24" i="17"/>
  <c r="L25" i="17" s="1"/>
  <c r="N25" i="1"/>
  <c r="N26" i="1" s="1"/>
  <c r="N15" i="15"/>
  <c r="E24" i="6"/>
  <c r="M24" i="6"/>
  <c r="O26" i="8"/>
  <c r="N25" i="9"/>
  <c r="F24" i="6"/>
  <c r="J24" i="6"/>
  <c r="N24" i="6"/>
  <c r="D26" i="8"/>
  <c r="D27" i="8" s="1"/>
  <c r="H26" i="8"/>
  <c r="L26" i="8"/>
  <c r="L24" i="5"/>
  <c r="G25" i="9"/>
  <c r="G26" i="9" s="1"/>
  <c r="K25" i="9"/>
  <c r="K26" i="9" s="1"/>
  <c r="O25" i="9"/>
  <c r="O26" i="9" s="1"/>
  <c r="F16" i="11"/>
  <c r="O26" i="11"/>
  <c r="O27" i="11" s="1"/>
  <c r="D26" i="11"/>
  <c r="F26" i="21"/>
  <c r="F27" i="21" s="1"/>
  <c r="K25" i="21"/>
  <c r="O25" i="21"/>
  <c r="L25" i="21"/>
  <c r="L25" i="1"/>
  <c r="I24" i="6"/>
  <c r="G26" i="8"/>
  <c r="E26" i="8"/>
  <c r="I26" i="8"/>
  <c r="I27" i="8" s="1"/>
  <c r="M26" i="8"/>
  <c r="D25" i="9"/>
  <c r="H25" i="9"/>
  <c r="L25" i="9"/>
  <c r="L26" i="9" s="1"/>
  <c r="D23" i="10"/>
  <c r="H23" i="10"/>
  <c r="L23" i="10"/>
  <c r="G16" i="11"/>
  <c r="N24" i="13"/>
  <c r="K24" i="13"/>
  <c r="K25" i="13" s="1"/>
  <c r="O24" i="13"/>
  <c r="D16" i="18"/>
  <c r="H16" i="18"/>
  <c r="O16" i="18"/>
  <c r="O27" i="18" s="1"/>
  <c r="J23" i="20"/>
  <c r="L23" i="20"/>
  <c r="L24" i="20" s="1"/>
  <c r="F26" i="9"/>
  <c r="J26" i="9"/>
  <c r="N26" i="9"/>
  <c r="L27" i="8"/>
  <c r="N25" i="12"/>
  <c r="N26" i="12" s="1"/>
  <c r="J24" i="7"/>
  <c r="J25" i="7" s="1"/>
  <c r="N24" i="7"/>
  <c r="N25" i="7" s="1"/>
  <c r="J25" i="17"/>
  <c r="L25" i="7"/>
  <c r="K24" i="7"/>
  <c r="K25" i="7" s="1"/>
  <c r="M24" i="7"/>
  <c r="M25" i="7" s="1"/>
  <c r="O24" i="7"/>
  <c r="O25" i="7" s="1"/>
  <c r="K26" i="14"/>
  <c r="M26" i="14"/>
  <c r="O26" i="14"/>
  <c r="H25" i="14"/>
  <c r="H26" i="12"/>
  <c r="E24" i="23"/>
  <c r="G24" i="23"/>
  <c r="G25" i="23" s="1"/>
  <c r="I24" i="23"/>
  <c r="L24" i="23"/>
  <c r="L25" i="23" s="1"/>
  <c r="N24" i="23"/>
  <c r="N25" i="23" s="1"/>
  <c r="D24" i="23"/>
  <c r="D25" i="23" s="1"/>
  <c r="F24" i="23"/>
  <c r="J24" i="23"/>
  <c r="J25" i="23" s="1"/>
  <c r="D24" i="7"/>
  <c r="D25" i="7" s="1"/>
  <c r="F24" i="7"/>
  <c r="F25" i="7" s="1"/>
  <c r="H24" i="7"/>
  <c r="H25" i="7" s="1"/>
  <c r="I26" i="11"/>
  <c r="I27" i="11" s="1"/>
  <c r="F25" i="23"/>
  <c r="D26" i="12"/>
  <c r="F26" i="12"/>
  <c r="I26" i="12"/>
  <c r="J26" i="12"/>
  <c r="L26" i="12"/>
  <c r="E26" i="12"/>
  <c r="M26" i="12"/>
  <c r="O26" i="12"/>
  <c r="D24" i="10"/>
  <c r="F24" i="10"/>
  <c r="H24" i="10"/>
  <c r="J24" i="10"/>
  <c r="L24" i="10"/>
  <c r="N24" i="10"/>
  <c r="E24" i="10"/>
  <c r="G24" i="10"/>
  <c r="I24" i="10"/>
  <c r="K24" i="10"/>
  <c r="M24" i="10"/>
  <c r="O24" i="10"/>
  <c r="D24" i="17"/>
  <c r="D25" i="17" s="1"/>
  <c r="F24" i="17"/>
  <c r="F25" i="17" s="1"/>
  <c r="H24" i="17"/>
  <c r="H25" i="17" s="1"/>
  <c r="K24" i="17"/>
  <c r="M24" i="17"/>
  <c r="M25" i="17" s="1"/>
  <c r="O24" i="17"/>
  <c r="O25" i="17" s="1"/>
  <c r="L25" i="5"/>
  <c r="E24" i="5"/>
  <c r="N24" i="5"/>
  <c r="N25" i="5" s="1"/>
  <c r="I25" i="5"/>
  <c r="K15" i="5"/>
  <c r="K25" i="5" s="1"/>
  <c r="M15" i="15"/>
  <c r="K26" i="1"/>
  <c r="L25" i="14"/>
  <c r="H26" i="11"/>
  <c r="H27" i="11" s="1"/>
  <c r="J26" i="11"/>
  <c r="J27" i="11" s="1"/>
  <c r="N26" i="11"/>
  <c r="N27" i="11" s="1"/>
  <c r="G27" i="11"/>
  <c r="K26" i="11"/>
  <c r="K27" i="11" s="1"/>
  <c r="I27" i="18"/>
  <c r="L26" i="18"/>
  <c r="N26" i="18"/>
  <c r="E27" i="8"/>
  <c r="G27" i="8"/>
  <c r="N27" i="8"/>
  <c r="F27" i="8"/>
  <c r="H27" i="8"/>
  <c r="K27" i="8"/>
  <c r="M27" i="8"/>
  <c r="O27" i="8"/>
  <c r="E25" i="13"/>
  <c r="G25" i="13"/>
  <c r="I25" i="13"/>
  <c r="D25" i="13"/>
  <c r="F25" i="13"/>
  <c r="H25" i="13"/>
  <c r="J25" i="13"/>
  <c r="L25" i="13"/>
  <c r="N25" i="13"/>
  <c r="O25" i="13"/>
  <c r="J24" i="20"/>
  <c r="N24" i="20"/>
  <c r="D23" i="20"/>
  <c r="D24" i="20" s="1"/>
  <c r="F23" i="20"/>
  <c r="F24" i="20" s="1"/>
  <c r="H23" i="20"/>
  <c r="H24" i="20" s="1"/>
  <c r="H24" i="23"/>
  <c r="H25" i="23" s="1"/>
  <c r="O25" i="23"/>
  <c r="M25" i="23"/>
  <c r="K25" i="23"/>
  <c r="I25" i="23"/>
  <c r="E25" i="23"/>
  <c r="E26" i="21"/>
  <c r="G26" i="21"/>
  <c r="I25" i="21"/>
  <c r="E16" i="21"/>
  <c r="E27" i="21" s="1"/>
  <c r="G16" i="21"/>
  <c r="K26" i="21"/>
  <c r="K27" i="21" s="1"/>
  <c r="E23" i="20"/>
  <c r="E24" i="20" s="1"/>
  <c r="G23" i="20"/>
  <c r="G24" i="20" s="1"/>
  <c r="I23" i="20"/>
  <c r="I24" i="20" s="1"/>
  <c r="K24" i="20"/>
  <c r="M24" i="20"/>
  <c r="O24" i="20"/>
  <c r="D26" i="19"/>
  <c r="F26" i="19"/>
  <c r="H26" i="19"/>
  <c r="E26" i="19"/>
  <c r="E27" i="19" s="1"/>
  <c r="G26" i="19"/>
  <c r="G27" i="19" s="1"/>
  <c r="I26" i="19"/>
  <c r="I27" i="19" s="1"/>
  <c r="D16" i="19"/>
  <c r="F16" i="19"/>
  <c r="H16" i="19"/>
  <c r="K16" i="19"/>
  <c r="K27" i="19" s="1"/>
  <c r="M16" i="19"/>
  <c r="M27" i="19" s="1"/>
  <c r="O16" i="19"/>
  <c r="O27" i="19" s="1"/>
  <c r="L16" i="19"/>
  <c r="L27" i="19" s="1"/>
  <c r="N16" i="19"/>
  <c r="N27" i="19" s="1"/>
  <c r="J27" i="19"/>
  <c r="E26" i="18"/>
  <c r="E27" i="18" s="1"/>
  <c r="G26" i="18"/>
  <c r="G27" i="18" s="1"/>
  <c r="D27" i="18"/>
  <c r="F27" i="18"/>
  <c r="H27" i="18"/>
  <c r="L27" i="18"/>
  <c r="N27" i="18"/>
  <c r="J27" i="18"/>
  <c r="E24" i="17"/>
  <c r="E25" i="17" s="1"/>
  <c r="G24" i="17"/>
  <c r="G25" i="17" s="1"/>
  <c r="I24" i="17"/>
  <c r="I25" i="17" s="1"/>
  <c r="N24" i="17"/>
  <c r="N25" i="17" s="1"/>
  <c r="K25" i="17"/>
  <c r="L24" i="15"/>
  <c r="L25" i="15" s="1"/>
  <c r="N24" i="15"/>
  <c r="N25" i="15" s="1"/>
  <c r="J24" i="15"/>
  <c r="J25" i="15" s="1"/>
  <c r="E24" i="15"/>
  <c r="G24" i="15"/>
  <c r="I24" i="15"/>
  <c r="K24" i="15"/>
  <c r="K25" i="15" s="1"/>
  <c r="M24" i="15"/>
  <c r="M25" i="15" s="1"/>
  <c r="O24" i="15"/>
  <c r="O25" i="15" s="1"/>
  <c r="D15" i="15"/>
  <c r="D25" i="15" s="1"/>
  <c r="F15" i="15"/>
  <c r="F25" i="15" s="1"/>
  <c r="H15" i="15"/>
  <c r="H25" i="15" s="1"/>
  <c r="E15" i="15"/>
  <c r="G15" i="15"/>
  <c r="I15" i="15"/>
  <c r="D25" i="14"/>
  <c r="D26" i="14" s="1"/>
  <c r="F25" i="14"/>
  <c r="F26" i="14" s="1"/>
  <c r="E25" i="14"/>
  <c r="E26" i="14" s="1"/>
  <c r="G25" i="14"/>
  <c r="G26" i="14" s="1"/>
  <c r="J26" i="14"/>
  <c r="L26" i="14"/>
  <c r="N26" i="14"/>
  <c r="H26" i="14"/>
  <c r="F27" i="11"/>
  <c r="I25" i="7"/>
  <c r="G25" i="7"/>
  <c r="E25" i="7"/>
  <c r="O25" i="5"/>
  <c r="M25" i="5"/>
  <c r="J25" i="5"/>
  <c r="D24" i="5"/>
  <c r="D25" i="5" s="1"/>
  <c r="H25" i="5"/>
  <c r="G25" i="5"/>
  <c r="E25" i="5"/>
  <c r="H26" i="1"/>
  <c r="J26" i="1"/>
  <c r="G26" i="1"/>
  <c r="E26" i="1"/>
  <c r="L26" i="1"/>
  <c r="F26" i="1"/>
  <c r="F25" i="5"/>
  <c r="D27" i="11" l="1"/>
  <c r="M26" i="9"/>
  <c r="N26" i="21"/>
  <c r="N27" i="21" s="1"/>
  <c r="O26" i="21"/>
  <c r="O27" i="21" s="1"/>
  <c r="M26" i="21"/>
  <c r="M27" i="21" s="1"/>
  <c r="I26" i="21"/>
  <c r="I27" i="21" s="1"/>
  <c r="G27" i="21"/>
  <c r="H26" i="21"/>
  <c r="H27" i="21" s="1"/>
  <c r="L26" i="11"/>
  <c r="L27" i="11" s="1"/>
  <c r="L26" i="21"/>
  <c r="L27" i="21" s="1"/>
  <c r="H27" i="19"/>
  <c r="D27" i="19"/>
  <c r="I25" i="15"/>
  <c r="E25" i="15"/>
  <c r="F27" i="19"/>
  <c r="G25" i="15"/>
</calcChain>
</file>

<file path=xl/sharedStrings.xml><?xml version="1.0" encoding="utf-8"?>
<sst xmlns="http://schemas.openxmlformats.org/spreadsheetml/2006/main" count="873" uniqueCount="116">
  <si>
    <t>МЕНЮ</t>
  </si>
  <si>
    <t>День: Понедельник</t>
  </si>
  <si>
    <t>Неделя: 1</t>
  </si>
  <si>
    <t>Сезон: с 01.03 по 31.05</t>
  </si>
  <si>
    <t>Возрастная группа: 7-11 лет</t>
  </si>
  <si>
    <t>№ рецептуры</t>
  </si>
  <si>
    <t>Прием пищи, наименование блюда</t>
  </si>
  <si>
    <t>Масса порции</t>
  </si>
  <si>
    <t>Пищевые вещества (г)</t>
  </si>
  <si>
    <t>Б</t>
  </si>
  <si>
    <t>Ж</t>
  </si>
  <si>
    <t>У</t>
  </si>
  <si>
    <t>Энерг.  цен. (ккал)</t>
  </si>
  <si>
    <t>Витамины (мг)</t>
  </si>
  <si>
    <t>В1</t>
  </si>
  <si>
    <t>С</t>
  </si>
  <si>
    <t>А</t>
  </si>
  <si>
    <t>Е</t>
  </si>
  <si>
    <t>Минеральные вещества (мг)</t>
  </si>
  <si>
    <t>Са</t>
  </si>
  <si>
    <t>Р</t>
  </si>
  <si>
    <t>Mg</t>
  </si>
  <si>
    <t>Fe</t>
  </si>
  <si>
    <t>Бутерброд с сыром (хлеб пшен., сыр)</t>
  </si>
  <si>
    <t>Макаронные из-лия отварные (макар. из-лия, масло слив., соль)</t>
  </si>
  <si>
    <t>Кофейный напиток с молоком (коф.напиток, сахар, молоко)</t>
  </si>
  <si>
    <t>Хлеб ржаной</t>
  </si>
  <si>
    <t>итого</t>
  </si>
  <si>
    <t>Завтрак</t>
  </si>
  <si>
    <t>Обед</t>
  </si>
  <si>
    <t>Картофельное пюре (картофель, молоко 2.5%, масло сливочное.)</t>
  </si>
  <si>
    <t>Хлеб пшеничный</t>
  </si>
  <si>
    <t>Сок яблочный</t>
  </si>
  <si>
    <t>Всего</t>
  </si>
  <si>
    <t>Итого</t>
  </si>
  <si>
    <t>Вторник</t>
  </si>
  <si>
    <t xml:space="preserve">День:  </t>
  </si>
  <si>
    <t>Чай с сахаром (чай, сахар)</t>
  </si>
  <si>
    <t>Рис отварной (крупа рисовая, масло слив., соль, вода)</t>
  </si>
  <si>
    <t>Кисель из плодов шиповника (витаминный) (плоды шиповника сушеные, сахар, крахмал, кислота лимонная)</t>
  </si>
  <si>
    <t>Омлет из яиц (яйцо, молоко, соль, масло слив.)</t>
  </si>
  <si>
    <t>День: Среда</t>
  </si>
  <si>
    <t>Рагу из птицы (курица, масло растительное, картофель, морковь, лук репчатый, томатная паста, мука пшеничная)</t>
  </si>
  <si>
    <r>
      <t>Компот из свежих яблок (</t>
    </r>
    <r>
      <rPr>
        <sz val="10"/>
        <color theme="1"/>
        <rFont val="Times New Roman"/>
        <family val="1"/>
        <charset val="204"/>
      </rPr>
      <t>яблоки, сахар, лимон. кислота.)</t>
    </r>
  </si>
  <si>
    <t>Яблоко</t>
  </si>
  <si>
    <t>День: Четверг</t>
  </si>
  <si>
    <t>Запеканка творожная с молоком сгущенным (творог 9%, крупа манная, сахар, яйцо, масло слив., сухари панир., сметана 20%, соль, молоко сгущенное)</t>
  </si>
  <si>
    <t>Шоколад "Аленка"</t>
  </si>
  <si>
    <t>День: Пятница</t>
  </si>
  <si>
    <t>Каша гречневая рассыпчатая (крупа гречневая, соль масло слив.)</t>
  </si>
  <si>
    <t>Салат "Летний" (картофель, огурцы св., помидоры св., лук зелен., яйцо, масло раст.)</t>
  </si>
  <si>
    <t>Груша</t>
  </si>
  <si>
    <t>Неделя: 2</t>
  </si>
  <si>
    <t xml:space="preserve">      Неделя: 2</t>
  </si>
  <si>
    <t xml:space="preserve">               День: Вторник</t>
  </si>
  <si>
    <t xml:space="preserve">                         Сезон: с 01.03 по 31.05</t>
  </si>
  <si>
    <t xml:space="preserve">                                 Возрастная группа: 7-11 лет</t>
  </si>
  <si>
    <t>Мандарин свежий</t>
  </si>
  <si>
    <t>Возрастная группа: 12-18 лет</t>
  </si>
  <si>
    <t xml:space="preserve">                                 Возрастная группа: 12-18 лет</t>
  </si>
  <si>
    <t>3*</t>
  </si>
  <si>
    <r>
      <rPr>
        <sz val="11"/>
        <color theme="1"/>
        <rFont val="Times New Roman"/>
        <family val="1"/>
        <charset val="204"/>
      </rPr>
      <t xml:space="preserve">Суп картофельный с бобовыми </t>
    </r>
    <r>
      <rPr>
        <sz val="10"/>
        <color theme="1"/>
        <rFont val="Times New Roman"/>
        <family val="1"/>
        <charset val="204"/>
      </rPr>
      <t>(картофель, горох, лук реп., морковь, масло раст., соль, петрушка-зелень)</t>
    </r>
  </si>
  <si>
    <r>
      <t>Зразы рубленые (</t>
    </r>
    <r>
      <rPr>
        <sz val="10"/>
        <color theme="1"/>
        <rFont val="Times New Roman"/>
        <family val="1"/>
        <charset val="204"/>
      </rPr>
      <t>свинина, хлеб пшеничный, сухари панировочные, яйцо, лук реп.,  соль, масло сливочное</t>
    </r>
    <r>
      <rPr>
        <sz val="11"/>
        <color theme="1"/>
        <rFont val="Times New Roman"/>
        <family val="1"/>
        <charset val="204"/>
      </rPr>
      <t>)</t>
    </r>
  </si>
  <si>
    <t>Йогурт</t>
  </si>
  <si>
    <r>
      <t xml:space="preserve">Суп картофельный с рыбой </t>
    </r>
    <r>
      <rPr>
        <sz val="10"/>
        <color theme="1"/>
        <rFont val="Times New Roman"/>
        <family val="1"/>
        <charset val="204"/>
      </rPr>
      <t>(рыба, картофель. масло раст, морковь, лук, соль, вода,том.паста.лавр.лист)</t>
    </r>
  </si>
  <si>
    <t>Плов (рис, свинина, лук репч,морковь,том.паста, соль,масло раст)</t>
  </si>
  <si>
    <r>
      <t>Бутерброд с повидлом(</t>
    </r>
    <r>
      <rPr>
        <sz val="10"/>
        <color theme="1"/>
        <rFont val="Times New Roman"/>
        <family val="1"/>
        <charset val="204"/>
      </rPr>
      <t>повидло, хлеб пшеничный,масло сл.)</t>
    </r>
  </si>
  <si>
    <r>
      <t>Какао с молоком сгущенным(</t>
    </r>
    <r>
      <rPr>
        <sz val="10"/>
        <color theme="1"/>
        <rFont val="Times New Roman"/>
        <family val="1"/>
        <charset val="204"/>
      </rPr>
      <t>какао-порошок, молоко сгущ, сахар)</t>
    </r>
  </si>
  <si>
    <t>Пирожное бисквитное</t>
  </si>
  <si>
    <t>Суп-лапша домашняя(цыпленок, вермишель, масло сливочное, морковь, лук репчатый, соль)</t>
  </si>
  <si>
    <t>283*</t>
  </si>
  <si>
    <t>Снежок</t>
  </si>
  <si>
    <t>Рассольник Ленинградский (картофель, крупа рисовая, масло раст., морковь, лук репч., огурцы соленые, сметана , вода)</t>
  </si>
  <si>
    <t>Котлеты рубленые из птицы (грудка, хлеб пшенич., вода, сухари паниров., масло слив.,вн.жир,масло раст.,соль)</t>
  </si>
  <si>
    <t>Капуста тушеная (капуста, морковь, томатная паста, лимонная кисл., мука пшен., сахар,, масло раст., соль,лавр лист)</t>
  </si>
  <si>
    <t>Салат из свеклы с сыром и чесноком (свекла, сыр, чеснок, масло растительное,соль)</t>
  </si>
  <si>
    <t>Печень тушеная в соусе (печень говяжья, мука в/с, масло растительное, сметана,соль)</t>
  </si>
  <si>
    <t>Чай с лимоном (чай, сахар,лимон,вода)</t>
  </si>
  <si>
    <t>Молоко в упаковке</t>
  </si>
  <si>
    <t>70/30</t>
  </si>
  <si>
    <t>100/30</t>
  </si>
  <si>
    <t>Борщ с капустой и картофелем со сметаной (свекла, капуста, картофель, масло раст., морковь, лук репч., томат. паста, сахар, лим. кислота, соль, вода, сметана,лавр.лист ).</t>
  </si>
  <si>
    <t>Компот из  смеси сухофруктов ( сухофрукты, вода, сахар, лим. кислота)</t>
  </si>
  <si>
    <t>Мандарин</t>
  </si>
  <si>
    <t>Тефтели 1-й вариант(свинина, хлеб пшеничный, лук репчатый, масло раст.,мука пшеничная, томатная паста)</t>
  </si>
  <si>
    <t>Суп из овощей (капуста свежая, картофель, морковь, лук репчатый, зеленый горошек консервированный, масло раст, соль, сметана)</t>
  </si>
  <si>
    <t>Зразы рыбные рубленные (минтай, хлеб пш.,лук репч., сухари пан.,яйцо, масло раст.крупа рис.,, масло слив.).</t>
  </si>
  <si>
    <t>Каша вязкая  молочная из  пшенной крупы (молоко 2.5%, сахар, соль,пшено, масло слив.)</t>
  </si>
  <si>
    <t>Котлеты,биточки,шницели(свинина,хлеб пш.,сухари пан.,соль,масло сл.,масло раст.)</t>
  </si>
  <si>
    <t>Сельдь с/с</t>
  </si>
  <si>
    <r>
      <t>Гуляш (свинина</t>
    </r>
    <r>
      <rPr>
        <sz val="10"/>
        <color theme="1"/>
        <rFont val="Times New Roman"/>
        <family val="1"/>
        <charset val="204"/>
      </rPr>
      <t>, масло раст., том. паста, мука пш.,лавр.лист, лук репч., соль</t>
    </r>
    <r>
      <rPr>
        <sz val="11"/>
        <color theme="1"/>
        <rFont val="Times New Roman"/>
        <family val="1"/>
        <charset val="204"/>
      </rPr>
      <t xml:space="preserve">) </t>
    </r>
  </si>
  <si>
    <t>508*</t>
  </si>
  <si>
    <t>Печень тушеная (говяжья) (печень гов., масло раст., соль)</t>
  </si>
  <si>
    <t>Пудинг из творога  (творог 9%, крупа манная, сахар, яйцо, изюм, масло слив., сухари паниров., сметана, молоко сгущенное)</t>
  </si>
  <si>
    <t>Биточки  ( свинина, хлеб пшеничный, масло раст., масло слив., сух.панир.)</t>
  </si>
  <si>
    <t>Картофель,тушенный с луком(картофель,масло раст.,лук репч.,лавр.лист,сметана,том.паста,мука,вода)</t>
  </si>
  <si>
    <t>Салат из белокочанной капусты (капуста белокоч, морковь, кислота лимон, сахар, масло растит)</t>
  </si>
  <si>
    <t>Салат из овощей (капуста белокочанная, помидоры св., огурцы св., яйцо, масло раст.)</t>
  </si>
  <si>
    <t>Каша вязкая  молочная из  пшеничной крупы (молоко 2.5%, сахар, соль,пшеничная крупа, масло слив.)</t>
  </si>
  <si>
    <t xml:space="preserve"> с 1.09 по 28.02</t>
  </si>
  <si>
    <t>52*</t>
  </si>
  <si>
    <t>Салат из капуты белокачанной с огурцом(капуста б/к,огурцы,масло раст.)</t>
  </si>
  <si>
    <t>Овощи натуральные соленые (огурец)</t>
  </si>
  <si>
    <t>Салат из сырых овощей</t>
  </si>
  <si>
    <t>Апельсин</t>
  </si>
  <si>
    <t>Сок фруктовый</t>
  </si>
  <si>
    <t>Салат зеленый с огурцами и помидорами( салат,огурцы св.,помид.св.масло растит.)</t>
  </si>
  <si>
    <t>Овощи натуральные свежие(огурец)</t>
  </si>
  <si>
    <t>Булочка домашняя(мука, сах.песок, дрожжи,масло раст.,меланж, соль)</t>
  </si>
  <si>
    <r>
      <rPr>
        <sz val="11"/>
        <color theme="1"/>
        <rFont val="Times New Roman"/>
        <family val="1"/>
        <charset val="204"/>
      </rPr>
      <t xml:space="preserve">Компот из </t>
    </r>
    <r>
      <rPr>
        <sz val="10"/>
        <color theme="1"/>
        <rFont val="Times New Roman"/>
        <family val="1"/>
        <charset val="204"/>
      </rPr>
      <t xml:space="preserve"> клубники ( клубника, сах.песок)</t>
    </r>
  </si>
  <si>
    <t>810*</t>
  </si>
  <si>
    <t>824*</t>
  </si>
  <si>
    <t>Компот из смородины (смородина, сах.песок )</t>
  </si>
  <si>
    <t>Овощи натуральные свежие(томаты)</t>
  </si>
  <si>
    <t xml:space="preserve">Шоколад </t>
  </si>
  <si>
    <t>Рыба припущенная (горбуша)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</si>
</sst>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0" fontId="5" fillId="0" borderId="0" xfId="0" applyFont="1" applyBorder="1"/>
    <xf numFmtId="0" fontId="7" fillId="0" borderId="1" xfId="0" applyFont="1" applyBorder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8" fillId="0" borderId="1" xfId="0" applyNumberFormat="1" applyFont="1" applyBorder="1"/>
    <xf numFmtId="0" fontId="8" fillId="0" borderId="1" xfId="0" applyFont="1" applyBorder="1"/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C18" sqref="C18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8.75" x14ac:dyDescent="0.3">
      <c r="F1" s="7" t="s">
        <v>0</v>
      </c>
      <c r="G1" s="1"/>
      <c r="H1" s="2"/>
    </row>
    <row r="2" spans="1:15" ht="15.75" x14ac:dyDescent="0.25">
      <c r="A2" s="6" t="s">
        <v>1</v>
      </c>
      <c r="B2" s="6"/>
    </row>
    <row r="3" spans="1:15" ht="15.75" x14ac:dyDescent="0.25">
      <c r="A3" s="6" t="s">
        <v>2</v>
      </c>
      <c r="B3" s="6"/>
    </row>
    <row r="4" spans="1:15" ht="15.75" x14ac:dyDescent="0.25">
      <c r="A4" s="6" t="s">
        <v>3</v>
      </c>
      <c r="B4" s="6" t="s">
        <v>99</v>
      </c>
    </row>
    <row r="5" spans="1:15" ht="15.75" x14ac:dyDescent="0.25">
      <c r="A5" s="6" t="s">
        <v>4</v>
      </c>
      <c r="B5" s="6"/>
    </row>
    <row r="6" spans="1:15" ht="45" customHeight="1" x14ac:dyDescent="0.25">
      <c r="A6" s="106" t="s">
        <v>5</v>
      </c>
      <c r="B6" s="107" t="s">
        <v>6</v>
      </c>
      <c r="C6" s="106" t="s">
        <v>7</v>
      </c>
      <c r="D6" s="103" t="s">
        <v>8</v>
      </c>
      <c r="E6" s="104"/>
      <c r="F6" s="105"/>
      <c r="G6" s="109" t="s">
        <v>12</v>
      </c>
      <c r="H6" s="103" t="s">
        <v>13</v>
      </c>
      <c r="I6" s="104"/>
      <c r="J6" s="104"/>
      <c r="K6" s="105"/>
      <c r="L6" s="103" t="s">
        <v>18</v>
      </c>
      <c r="M6" s="104"/>
      <c r="N6" s="104"/>
      <c r="O6" s="105"/>
    </row>
    <row r="7" spans="1:15" x14ac:dyDescent="0.25">
      <c r="A7" s="106"/>
      <c r="B7" s="108"/>
      <c r="C7" s="106"/>
      <c r="D7" s="9" t="s">
        <v>9</v>
      </c>
      <c r="E7" s="9" t="s">
        <v>10</v>
      </c>
      <c r="F7" s="9" t="s">
        <v>11</v>
      </c>
      <c r="G7" s="110"/>
      <c r="H7" s="9" t="s">
        <v>14</v>
      </c>
      <c r="I7" s="10" t="s">
        <v>15</v>
      </c>
      <c r="J7" s="11" t="s">
        <v>16</v>
      </c>
      <c r="K7" s="12" t="s">
        <v>17</v>
      </c>
      <c r="L7" s="9" t="s">
        <v>19</v>
      </c>
      <c r="M7" s="9" t="s">
        <v>20</v>
      </c>
      <c r="N7" s="9" t="s">
        <v>21</v>
      </c>
      <c r="O7" s="9" t="s">
        <v>22</v>
      </c>
    </row>
    <row r="8" spans="1:15" ht="15.75" x14ac:dyDescent="0.25">
      <c r="A8" s="13"/>
      <c r="B8" s="14" t="s">
        <v>28</v>
      </c>
      <c r="C8" s="13"/>
      <c r="D8" s="9"/>
      <c r="E8" s="9"/>
      <c r="F8" s="9"/>
      <c r="G8" s="15"/>
      <c r="H8" s="9"/>
      <c r="I8" s="10"/>
      <c r="J8" s="11"/>
      <c r="K8" s="12"/>
      <c r="L8" s="9"/>
      <c r="M8" s="9"/>
      <c r="N8" s="9"/>
      <c r="O8" s="9"/>
    </row>
    <row r="9" spans="1:15" x14ac:dyDescent="0.25">
      <c r="A9" s="9" t="s">
        <v>60</v>
      </c>
      <c r="B9" s="16" t="s">
        <v>23</v>
      </c>
      <c r="C9" s="9">
        <v>50</v>
      </c>
      <c r="D9" s="17">
        <v>5.76</v>
      </c>
      <c r="E9" s="17">
        <v>5.25</v>
      </c>
      <c r="F9" s="17">
        <v>14.94</v>
      </c>
      <c r="G9" s="18">
        <v>133</v>
      </c>
      <c r="H9" s="17">
        <v>0.05</v>
      </c>
      <c r="I9" s="19">
        <v>0.24</v>
      </c>
      <c r="J9" s="17">
        <v>0.03</v>
      </c>
      <c r="K9" s="17">
        <v>0.02</v>
      </c>
      <c r="L9" s="17">
        <v>156.6</v>
      </c>
      <c r="M9" s="17">
        <v>106.5</v>
      </c>
      <c r="N9" s="17">
        <v>17.399999999999999</v>
      </c>
      <c r="O9" s="17">
        <v>0.76</v>
      </c>
    </row>
    <row r="10" spans="1:15" x14ac:dyDescent="0.25">
      <c r="A10" s="12">
        <v>227</v>
      </c>
      <c r="B10" s="20" t="s">
        <v>115</v>
      </c>
      <c r="C10" s="9">
        <v>95</v>
      </c>
      <c r="D10" s="9">
        <v>8.0299999999999994</v>
      </c>
      <c r="E10" s="9">
        <v>15.13</v>
      </c>
      <c r="F10" s="9">
        <v>0.1</v>
      </c>
      <c r="G10" s="18">
        <v>160.5</v>
      </c>
      <c r="H10" s="17">
        <v>0.05</v>
      </c>
      <c r="I10" s="19">
        <v>21.5</v>
      </c>
      <c r="J10" s="17">
        <v>0.05</v>
      </c>
      <c r="K10" s="17">
        <v>0.05</v>
      </c>
      <c r="L10" s="17">
        <v>8.75</v>
      </c>
      <c r="M10" s="17">
        <v>81.099999999999994</v>
      </c>
      <c r="N10" s="17">
        <v>10.67</v>
      </c>
      <c r="O10" s="17">
        <v>0.46</v>
      </c>
    </row>
    <row r="11" spans="1:15" ht="30" x14ac:dyDescent="0.25">
      <c r="A11" s="12">
        <v>203</v>
      </c>
      <c r="B11" s="21" t="s">
        <v>24</v>
      </c>
      <c r="C11" s="9">
        <v>150</v>
      </c>
      <c r="D11" s="9">
        <f>C11*0.0365</f>
        <v>5.4749999999999996</v>
      </c>
      <c r="E11" s="9">
        <f>C11*0.0332</f>
        <v>4.9800000000000004</v>
      </c>
      <c r="F11" s="9">
        <f>C11*0.2325</f>
        <v>34.875</v>
      </c>
      <c r="G11" s="18">
        <f>C11*1.41</f>
        <v>211.5</v>
      </c>
      <c r="H11" s="17">
        <f>C11*0.0008</f>
        <v>0.12000000000000001</v>
      </c>
      <c r="I11" s="19">
        <v>0</v>
      </c>
      <c r="J11" s="17">
        <f>C11*0.0002</f>
        <v>3.0000000000000002E-2</v>
      </c>
      <c r="K11" s="17">
        <f>C11*0.0003</f>
        <v>4.4999999999999998E-2</v>
      </c>
      <c r="L11" s="17">
        <f>C11*0.273</f>
        <v>40.950000000000003</v>
      </c>
      <c r="M11" s="17">
        <f>C11*0.4004</f>
        <v>60.059999999999995</v>
      </c>
      <c r="N11" s="17">
        <f>C11*0.1639</f>
        <v>24.584999999999997</v>
      </c>
      <c r="O11" s="17">
        <f>C11*0.0066</f>
        <v>0.99</v>
      </c>
    </row>
    <row r="12" spans="1:15" ht="30" x14ac:dyDescent="0.25">
      <c r="A12" s="9">
        <v>379</v>
      </c>
      <c r="B12" s="21" t="s">
        <v>25</v>
      </c>
      <c r="C12" s="9">
        <v>200</v>
      </c>
      <c r="D12" s="9">
        <v>1.4</v>
      </c>
      <c r="E12" s="9">
        <v>1.6</v>
      </c>
      <c r="F12" s="9">
        <v>22.31</v>
      </c>
      <c r="G12" s="18">
        <v>105</v>
      </c>
      <c r="H12" s="17">
        <v>0.02</v>
      </c>
      <c r="I12" s="19">
        <v>0.65</v>
      </c>
      <c r="J12" s="17">
        <v>0.01</v>
      </c>
      <c r="K12" s="17">
        <v>0</v>
      </c>
      <c r="L12" s="17">
        <v>60.4</v>
      </c>
      <c r="M12" s="17">
        <v>45</v>
      </c>
      <c r="N12" s="17">
        <v>7</v>
      </c>
      <c r="O12" s="17">
        <v>0.09</v>
      </c>
    </row>
    <row r="13" spans="1:15" x14ac:dyDescent="0.25">
      <c r="A13" s="9"/>
      <c r="B13" s="20" t="s">
        <v>26</v>
      </c>
      <c r="C13" s="9">
        <v>35</v>
      </c>
      <c r="D13" s="9">
        <v>2.31</v>
      </c>
      <c r="E13" s="9">
        <v>0.39</v>
      </c>
      <c r="F13" s="9">
        <v>14.35</v>
      </c>
      <c r="G13" s="18">
        <v>72.099999999999994</v>
      </c>
      <c r="H13" s="17"/>
      <c r="I13" s="19"/>
      <c r="J13" s="17"/>
      <c r="K13" s="17"/>
      <c r="L13" s="17"/>
      <c r="M13" s="17"/>
      <c r="N13" s="17"/>
      <c r="O13" s="17"/>
    </row>
    <row r="14" spans="1:15" x14ac:dyDescent="0.25">
      <c r="A14" s="9"/>
      <c r="B14" s="20" t="s">
        <v>31</v>
      </c>
      <c r="C14" s="9">
        <v>30</v>
      </c>
      <c r="D14" s="9">
        <v>2</v>
      </c>
      <c r="E14" s="9">
        <v>0.7</v>
      </c>
      <c r="F14" s="9">
        <v>13.7</v>
      </c>
      <c r="G14" s="18">
        <v>70.5</v>
      </c>
      <c r="H14" s="17"/>
      <c r="I14" s="19"/>
      <c r="J14" s="17"/>
      <c r="K14" s="17"/>
      <c r="L14" s="17"/>
      <c r="M14" s="17"/>
      <c r="N14" s="17"/>
      <c r="O14" s="17"/>
    </row>
    <row r="15" spans="1:15" x14ac:dyDescent="0.25">
      <c r="A15" s="9"/>
      <c r="B15" s="22" t="s">
        <v>27</v>
      </c>
      <c r="C15" s="9">
        <f>SUM(C9:C14)</f>
        <v>560</v>
      </c>
      <c r="D15" s="23">
        <f t="shared" ref="D15:O15" si="0">SUM(D9:D14)</f>
        <v>24.974999999999998</v>
      </c>
      <c r="E15" s="23">
        <f t="shared" si="0"/>
        <v>28.050000000000004</v>
      </c>
      <c r="F15" s="23">
        <f t="shared" si="0"/>
        <v>100.27499999999999</v>
      </c>
      <c r="G15" s="24">
        <f t="shared" si="0"/>
        <v>752.6</v>
      </c>
      <c r="H15" s="25">
        <f t="shared" si="0"/>
        <v>0.24000000000000002</v>
      </c>
      <c r="I15" s="26">
        <f t="shared" si="0"/>
        <v>22.389999999999997</v>
      </c>
      <c r="J15" s="25">
        <f t="shared" si="0"/>
        <v>0.12</v>
      </c>
      <c r="K15" s="25">
        <f t="shared" si="0"/>
        <v>0.115</v>
      </c>
      <c r="L15" s="25">
        <f t="shared" si="0"/>
        <v>266.7</v>
      </c>
      <c r="M15" s="25">
        <f t="shared" si="0"/>
        <v>292.65999999999997</v>
      </c>
      <c r="N15" s="25">
        <f t="shared" si="0"/>
        <v>59.655000000000001</v>
      </c>
      <c r="O15" s="25">
        <f t="shared" si="0"/>
        <v>2.2999999999999998</v>
      </c>
    </row>
    <row r="16" spans="1:15" x14ac:dyDescent="0.25">
      <c r="A16" s="9"/>
      <c r="B16" s="23" t="s">
        <v>29</v>
      </c>
      <c r="C16" s="9"/>
      <c r="D16" s="9"/>
      <c r="E16" s="9"/>
      <c r="F16" s="9"/>
      <c r="G16" s="18"/>
      <c r="H16" s="17"/>
      <c r="I16" s="19"/>
      <c r="J16" s="17"/>
      <c r="K16" s="17"/>
      <c r="L16" s="17"/>
      <c r="M16" s="17"/>
      <c r="N16" s="17"/>
      <c r="O16" s="17"/>
    </row>
    <row r="17" spans="1:15" ht="45" x14ac:dyDescent="0.25">
      <c r="A17" s="11" t="s">
        <v>100</v>
      </c>
      <c r="B17" s="21" t="s">
        <v>101</v>
      </c>
      <c r="C17" s="11">
        <v>60</v>
      </c>
      <c r="D17" s="11">
        <f>C17*0.03</f>
        <v>1.7999999999999998</v>
      </c>
      <c r="E17" s="11">
        <f>C17*0.064</f>
        <v>3.84</v>
      </c>
      <c r="F17" s="11">
        <f>C17*0.24</f>
        <v>14.399999999999999</v>
      </c>
      <c r="G17" s="98">
        <f>C17*1.64</f>
        <v>98.399999999999991</v>
      </c>
      <c r="H17" s="33">
        <f>C17*0.0008</f>
        <v>4.8000000000000001E-2</v>
      </c>
      <c r="I17" s="34">
        <f>C17*0.058</f>
        <v>3.48</v>
      </c>
      <c r="J17" s="33">
        <v>0</v>
      </c>
      <c r="K17" s="33">
        <f>C17*0.0006</f>
        <v>3.5999999999999997E-2</v>
      </c>
      <c r="L17" s="33">
        <f>C17*0.19</f>
        <v>11.4</v>
      </c>
      <c r="M17" s="33">
        <f>C17*0.39</f>
        <v>23.400000000000002</v>
      </c>
      <c r="N17" s="33">
        <f>C17*0.25</f>
        <v>15</v>
      </c>
      <c r="O17" s="33">
        <f>C17*0.012</f>
        <v>0.72</v>
      </c>
    </row>
    <row r="18" spans="1:15" ht="40.5" x14ac:dyDescent="0.25">
      <c r="A18" s="11">
        <v>102</v>
      </c>
      <c r="B18" s="68" t="s">
        <v>61</v>
      </c>
      <c r="C18" s="11">
        <v>250</v>
      </c>
      <c r="D18" s="11">
        <f>C18*0.02192</f>
        <v>5.4799999999999995</v>
      </c>
      <c r="E18" s="11">
        <f>C18*0.01896</f>
        <v>4.74</v>
      </c>
      <c r="F18" s="11">
        <f>C18*0.07896</f>
        <v>19.740000000000002</v>
      </c>
      <c r="G18" s="32">
        <f>C18*0.584</f>
        <v>146</v>
      </c>
      <c r="H18" s="33">
        <f>C18*0.00092</f>
        <v>0.23</v>
      </c>
      <c r="I18" s="34">
        <f>C18*0.061</f>
        <v>15.25</v>
      </c>
      <c r="J18" s="33">
        <f>C18*0.00008</f>
        <v>0.02</v>
      </c>
      <c r="K18" s="33">
        <f>C18*0.00032</f>
        <v>0.08</v>
      </c>
      <c r="L18" s="33">
        <f>C18*0.17536</f>
        <v>43.839999999999996</v>
      </c>
      <c r="M18" s="33">
        <f>C18*0.43768</f>
        <v>109.42</v>
      </c>
      <c r="N18" s="33">
        <f>C18*0.1612</f>
        <v>40.300000000000004</v>
      </c>
      <c r="O18" s="33">
        <f>C18*0.00808</f>
        <v>2.02</v>
      </c>
    </row>
    <row r="19" spans="1:15" ht="42.75" x14ac:dyDescent="0.25">
      <c r="A19" s="11">
        <v>274</v>
      </c>
      <c r="B19" s="69" t="s">
        <v>62</v>
      </c>
      <c r="C19" s="11">
        <v>105</v>
      </c>
      <c r="D19" s="11">
        <f>C19*0.1456666</f>
        <v>15.294993000000002</v>
      </c>
      <c r="E19" s="11">
        <f>C19*0.155</f>
        <v>16.274999999999999</v>
      </c>
      <c r="F19" s="11">
        <f>C19*0.14</f>
        <v>14.700000000000001</v>
      </c>
      <c r="G19" s="32">
        <f>C19*2.55</f>
        <v>267.75</v>
      </c>
      <c r="H19" s="33">
        <f>C19*0.0008333</f>
        <v>8.7496500000000005E-2</v>
      </c>
      <c r="I19" s="34">
        <f>C19*0.01733333</f>
        <v>1.8199996500000002</v>
      </c>
      <c r="J19" s="33">
        <f>C19*0.0006666</f>
        <v>6.9993E-2</v>
      </c>
      <c r="K19" s="33">
        <f>C19*0.0003333</f>
        <v>3.49965E-2</v>
      </c>
      <c r="L19" s="33">
        <f>C19*0.2535</f>
        <v>26.6175</v>
      </c>
      <c r="M19" s="33">
        <f>C19*1.52716666</f>
        <v>160.35249930000001</v>
      </c>
      <c r="N19" s="33">
        <f>C19*0.28416666</f>
        <v>29.837499300000001</v>
      </c>
      <c r="O19" s="33">
        <f>C19*0.016166666</f>
        <v>1.69749993</v>
      </c>
    </row>
    <row r="20" spans="1:15" ht="30" x14ac:dyDescent="0.25">
      <c r="A20" s="11">
        <v>312</v>
      </c>
      <c r="B20" s="70" t="s">
        <v>30</v>
      </c>
      <c r="C20" s="11">
        <v>150</v>
      </c>
      <c r="D20" s="11">
        <f>C20*0.0216</f>
        <v>3.24</v>
      </c>
      <c r="E20" s="11">
        <f>C20*0.0373</f>
        <v>5.5949999999999998</v>
      </c>
      <c r="F20" s="11">
        <f>C20*0.147</f>
        <v>22.049999999999997</v>
      </c>
      <c r="G20" s="32">
        <f>C20*1.04</f>
        <v>156</v>
      </c>
      <c r="H20" s="33">
        <f>C20*0.001</f>
        <v>0.15</v>
      </c>
      <c r="I20" s="34">
        <f>C20*0.173</f>
        <v>25.95</v>
      </c>
      <c r="J20" s="33">
        <f>C20*0.0002</f>
        <v>3.0000000000000002E-2</v>
      </c>
      <c r="K20" s="33">
        <f>C20*0.0008</f>
        <v>0.12000000000000001</v>
      </c>
      <c r="L20" s="33">
        <f>C20*0.4633</f>
        <v>69.495000000000005</v>
      </c>
      <c r="M20" s="33">
        <f>C20*0.6447</f>
        <v>96.705000000000013</v>
      </c>
      <c r="N20" s="33">
        <f>C20*0.2299</f>
        <v>34.484999999999999</v>
      </c>
      <c r="O20" s="33">
        <f>C20*0.0093</f>
        <v>1.3949999999999998</v>
      </c>
    </row>
    <row r="21" spans="1:15" ht="27.75" x14ac:dyDescent="0.25">
      <c r="A21" s="11" t="s">
        <v>110</v>
      </c>
      <c r="B21" s="68" t="s">
        <v>109</v>
      </c>
      <c r="C21" s="11">
        <v>200</v>
      </c>
      <c r="D21" s="11">
        <v>0</v>
      </c>
      <c r="E21" s="11">
        <v>0</v>
      </c>
      <c r="F21" s="11">
        <v>19.96</v>
      </c>
      <c r="G21" s="32">
        <v>76</v>
      </c>
      <c r="H21" s="33">
        <v>0</v>
      </c>
      <c r="I21" s="71">
        <v>0</v>
      </c>
      <c r="J21" s="33">
        <v>0</v>
      </c>
      <c r="K21" s="33">
        <v>0</v>
      </c>
      <c r="L21" s="33">
        <v>0.4</v>
      </c>
      <c r="M21" s="33">
        <v>0</v>
      </c>
      <c r="N21" s="33">
        <v>0</v>
      </c>
      <c r="O21" s="33">
        <v>0.06</v>
      </c>
    </row>
    <row r="22" spans="1:15" x14ac:dyDescent="0.25">
      <c r="A22" s="9"/>
      <c r="B22" s="20" t="s">
        <v>26</v>
      </c>
      <c r="C22" s="9">
        <v>35</v>
      </c>
      <c r="D22" s="9">
        <v>2.31</v>
      </c>
      <c r="E22" s="9">
        <v>0.39</v>
      </c>
      <c r="F22" s="9">
        <v>14.35</v>
      </c>
      <c r="G22" s="18">
        <v>72.099999999999994</v>
      </c>
      <c r="H22" s="17"/>
      <c r="I22" s="19"/>
      <c r="J22" s="17"/>
      <c r="K22" s="17"/>
      <c r="L22" s="17"/>
      <c r="M22" s="17"/>
      <c r="N22" s="17"/>
      <c r="O22" s="17"/>
    </row>
    <row r="23" spans="1:15" x14ac:dyDescent="0.25">
      <c r="A23" s="9"/>
      <c r="B23" s="20" t="s">
        <v>31</v>
      </c>
      <c r="C23" s="9">
        <v>30</v>
      </c>
      <c r="D23" s="9">
        <v>2</v>
      </c>
      <c r="E23" s="9">
        <v>0.7</v>
      </c>
      <c r="F23" s="9">
        <v>13.7</v>
      </c>
      <c r="G23" s="18">
        <v>70.5</v>
      </c>
      <c r="H23" s="17"/>
      <c r="I23" s="19"/>
      <c r="J23" s="17"/>
      <c r="K23" s="17"/>
      <c r="L23" s="17"/>
      <c r="M23" s="17"/>
      <c r="N23" s="17"/>
      <c r="O23" s="17"/>
    </row>
    <row r="24" spans="1:15" x14ac:dyDescent="0.25">
      <c r="A24" s="9">
        <v>389</v>
      </c>
      <c r="B24" s="20" t="s">
        <v>32</v>
      </c>
      <c r="C24" s="9">
        <v>200</v>
      </c>
      <c r="D24" s="9">
        <v>0</v>
      </c>
      <c r="E24" s="9">
        <v>0</v>
      </c>
      <c r="F24" s="9">
        <v>20.2</v>
      </c>
      <c r="G24" s="18">
        <v>84.8</v>
      </c>
      <c r="H24" s="17">
        <v>0.02</v>
      </c>
      <c r="I24" s="19">
        <v>4</v>
      </c>
      <c r="J24" s="28">
        <v>0</v>
      </c>
      <c r="K24" s="17">
        <v>0</v>
      </c>
      <c r="L24" s="17">
        <v>14</v>
      </c>
      <c r="M24" s="17">
        <v>14</v>
      </c>
      <c r="N24" s="17">
        <v>8</v>
      </c>
      <c r="O24" s="17">
        <v>2.8</v>
      </c>
    </row>
    <row r="25" spans="1:15" x14ac:dyDescent="0.25">
      <c r="A25" s="9"/>
      <c r="B25" s="22" t="s">
        <v>34</v>
      </c>
      <c r="C25" s="9">
        <f>SUM(C17:C24)</f>
        <v>1030</v>
      </c>
      <c r="D25" s="23">
        <f t="shared" ref="D25:I25" si="1">SUM(D17:D24)</f>
        <v>30.124993</v>
      </c>
      <c r="E25" s="23">
        <f t="shared" si="1"/>
        <v>31.539999999999996</v>
      </c>
      <c r="F25" s="23">
        <f t="shared" si="1"/>
        <v>139.1</v>
      </c>
      <c r="G25" s="24">
        <f t="shared" si="1"/>
        <v>971.55</v>
      </c>
      <c r="H25" s="25">
        <f t="shared" si="1"/>
        <v>0.53549650000000004</v>
      </c>
      <c r="I25" s="26">
        <f t="shared" si="1"/>
        <v>50.499999649999999</v>
      </c>
      <c r="J25" s="29">
        <f>SUM(J15:J24)</f>
        <v>0.23999299999999998</v>
      </c>
      <c r="K25" s="25">
        <f>SUM(K17:K24)</f>
        <v>0.27099649999999997</v>
      </c>
      <c r="L25" s="25">
        <f>SUM(L17:L24)</f>
        <v>165.7525</v>
      </c>
      <c r="M25" s="25">
        <f>SUM(M17:M24)</f>
        <v>403.87749930000007</v>
      </c>
      <c r="N25" s="25">
        <f>SUM(N17:N24)</f>
        <v>127.6224993</v>
      </c>
      <c r="O25" s="25">
        <f>SUM(O17:O24)</f>
        <v>8.6924999300000003</v>
      </c>
    </row>
    <row r="26" spans="1:15" x14ac:dyDescent="0.25">
      <c r="A26" s="23"/>
      <c r="B26" s="30" t="s">
        <v>33</v>
      </c>
      <c r="C26" s="23">
        <f>C15+C25</f>
        <v>1590</v>
      </c>
      <c r="D26" s="23">
        <v>54.69</v>
      </c>
      <c r="E26" s="23">
        <f t="shared" ref="E26:O26" si="2">E15+E25</f>
        <v>59.59</v>
      </c>
      <c r="F26" s="23">
        <f t="shared" si="2"/>
        <v>239.375</v>
      </c>
      <c r="G26" s="23">
        <f t="shared" si="2"/>
        <v>1724.15</v>
      </c>
      <c r="H26" s="23">
        <f t="shared" si="2"/>
        <v>0.77549650000000003</v>
      </c>
      <c r="I26" s="23">
        <f t="shared" si="2"/>
        <v>72.889999649999993</v>
      </c>
      <c r="J26" s="23">
        <f t="shared" si="2"/>
        <v>0.35999300000000001</v>
      </c>
      <c r="K26" s="23">
        <f t="shared" si="2"/>
        <v>0.38599649999999996</v>
      </c>
      <c r="L26" s="23">
        <f t="shared" si="2"/>
        <v>432.45249999999999</v>
      </c>
      <c r="M26" s="23">
        <f t="shared" si="2"/>
        <v>696.53749930000004</v>
      </c>
      <c r="N26" s="23">
        <f t="shared" si="2"/>
        <v>187.27749929999999</v>
      </c>
      <c r="O26" s="23">
        <f t="shared" si="2"/>
        <v>10.992499930000001</v>
      </c>
    </row>
  </sheetData>
  <mergeCells count="7">
    <mergeCell ref="L6:O6"/>
    <mergeCell ref="D6:F6"/>
    <mergeCell ref="A6:A7"/>
    <mergeCell ref="B6:B7"/>
    <mergeCell ref="C6:C7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Normal="100" workbookViewId="0">
      <selection activeCell="F22" sqref="F22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8.75" x14ac:dyDescent="0.25">
      <c r="A1" s="47"/>
      <c r="B1" s="47"/>
      <c r="C1" s="47"/>
      <c r="D1" s="47"/>
      <c r="E1" s="47"/>
      <c r="F1" s="59" t="s">
        <v>0</v>
      </c>
      <c r="G1" s="47"/>
      <c r="H1" s="60"/>
      <c r="I1" s="47"/>
      <c r="J1" s="47"/>
      <c r="K1" s="47"/>
      <c r="L1" s="47"/>
      <c r="M1" s="47"/>
      <c r="N1" s="47"/>
      <c r="O1" s="47"/>
    </row>
    <row r="2" spans="1:15" x14ac:dyDescent="0.25">
      <c r="A2" s="47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x14ac:dyDescent="0.25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5.75" x14ac:dyDescent="0.25">
      <c r="A4" s="47" t="s">
        <v>3</v>
      </c>
      <c r="B4" s="6" t="s">
        <v>99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x14ac:dyDescent="0.25">
      <c r="A5" s="47" t="s">
        <v>58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45" customHeight="1" x14ac:dyDescent="0.25">
      <c r="A6" s="114" t="s">
        <v>5</v>
      </c>
      <c r="B6" s="115" t="s">
        <v>6</v>
      </c>
      <c r="C6" s="114" t="s">
        <v>7</v>
      </c>
      <c r="D6" s="111" t="s">
        <v>8</v>
      </c>
      <c r="E6" s="112"/>
      <c r="F6" s="113"/>
      <c r="G6" s="117" t="s">
        <v>12</v>
      </c>
      <c r="H6" s="111" t="s">
        <v>13</v>
      </c>
      <c r="I6" s="112"/>
      <c r="J6" s="112"/>
      <c r="K6" s="113"/>
      <c r="L6" s="111" t="s">
        <v>18</v>
      </c>
      <c r="M6" s="112"/>
      <c r="N6" s="112"/>
      <c r="O6" s="113"/>
    </row>
    <row r="7" spans="1:15" x14ac:dyDescent="0.25">
      <c r="A7" s="114"/>
      <c r="B7" s="116"/>
      <c r="C7" s="114"/>
      <c r="D7" s="11" t="s">
        <v>9</v>
      </c>
      <c r="E7" s="11" t="s">
        <v>10</v>
      </c>
      <c r="F7" s="11" t="s">
        <v>11</v>
      </c>
      <c r="G7" s="118"/>
      <c r="H7" s="11" t="s">
        <v>14</v>
      </c>
      <c r="I7" s="74" t="s">
        <v>15</v>
      </c>
      <c r="J7" s="11" t="s">
        <v>16</v>
      </c>
      <c r="K7" s="11" t="s">
        <v>17</v>
      </c>
      <c r="L7" s="11" t="s">
        <v>19</v>
      </c>
      <c r="M7" s="11" t="s">
        <v>20</v>
      </c>
      <c r="N7" s="11" t="s">
        <v>21</v>
      </c>
      <c r="O7" s="11" t="s">
        <v>22</v>
      </c>
    </row>
    <row r="8" spans="1:15" ht="15.75" x14ac:dyDescent="0.25">
      <c r="A8" s="75"/>
      <c r="B8" s="57" t="s">
        <v>28</v>
      </c>
      <c r="C8" s="75"/>
      <c r="D8" s="11"/>
      <c r="E8" s="11"/>
      <c r="F8" s="11"/>
      <c r="G8" s="62"/>
      <c r="H8" s="11"/>
      <c r="I8" s="74"/>
      <c r="J8" s="11"/>
      <c r="K8" s="11"/>
      <c r="L8" s="11"/>
      <c r="M8" s="11"/>
      <c r="N8" s="11"/>
      <c r="O8" s="11"/>
    </row>
    <row r="9" spans="1:15" ht="38.25" x14ac:dyDescent="0.25">
      <c r="A9" s="11">
        <v>50</v>
      </c>
      <c r="B9" s="63" t="s">
        <v>75</v>
      </c>
      <c r="C9" s="11">
        <v>100</v>
      </c>
      <c r="D9" s="33">
        <f>C9*0.011</f>
        <v>1.0999999999999999</v>
      </c>
      <c r="E9" s="33">
        <f>C9*0.0516666</f>
        <v>5.1666600000000003</v>
      </c>
      <c r="F9" s="33">
        <f>C9*0.1198333</f>
        <v>11.98333</v>
      </c>
      <c r="G9" s="74">
        <f>C9*0.9833333</f>
        <v>98.333329999999989</v>
      </c>
      <c r="H9" s="33">
        <f>C9*0.0001666</f>
        <v>1.6660000000000001E-2</v>
      </c>
      <c r="I9" s="34">
        <f>C9*0.1113333</f>
        <v>11.133329999999999</v>
      </c>
      <c r="J9" s="33">
        <v>0</v>
      </c>
      <c r="K9" s="33">
        <v>0</v>
      </c>
      <c r="L9" s="33">
        <f>C9*0.29066666</f>
        <v>29.066666000000001</v>
      </c>
      <c r="M9" s="33">
        <f>C9*0.3165</f>
        <v>31.65</v>
      </c>
      <c r="N9" s="33">
        <f>C9*0.171</f>
        <v>17.100000000000001</v>
      </c>
      <c r="O9" s="33">
        <f>C9*0.015333333</f>
        <v>1.5333333</v>
      </c>
    </row>
    <row r="10" spans="1:15" ht="38.25" x14ac:dyDescent="0.25">
      <c r="A10" s="11">
        <v>261</v>
      </c>
      <c r="B10" s="64" t="s">
        <v>76</v>
      </c>
      <c r="C10" s="11" t="s">
        <v>80</v>
      </c>
      <c r="D10" s="11">
        <v>12.66</v>
      </c>
      <c r="E10" s="11">
        <v>18.760000000000002</v>
      </c>
      <c r="F10" s="11">
        <v>3.81</v>
      </c>
      <c r="G10" s="83">
        <v>159</v>
      </c>
      <c r="H10" s="33">
        <v>0.19</v>
      </c>
      <c r="I10" s="34">
        <v>28.86</v>
      </c>
      <c r="J10" s="33">
        <v>5.54</v>
      </c>
      <c r="K10" s="33">
        <v>1.4</v>
      </c>
      <c r="L10" s="33">
        <v>25.62</v>
      </c>
      <c r="M10" s="33">
        <v>223.29</v>
      </c>
      <c r="N10" s="33">
        <v>14.8</v>
      </c>
      <c r="O10" s="33">
        <v>4.72</v>
      </c>
    </row>
    <row r="11" spans="1:15" ht="30.75" customHeight="1" x14ac:dyDescent="0.25">
      <c r="A11" s="11">
        <v>171</v>
      </c>
      <c r="B11" s="65" t="s">
        <v>49</v>
      </c>
      <c r="C11" s="11">
        <v>180</v>
      </c>
      <c r="D11" s="11">
        <f>C11*0.0583</f>
        <v>10.494</v>
      </c>
      <c r="E11" s="11">
        <f>C11*0.0441</f>
        <v>7.9379999999999997</v>
      </c>
      <c r="F11" s="11">
        <f>C11*0.2871</f>
        <v>51.678000000000004</v>
      </c>
      <c r="G11" s="74">
        <f>C11*0.18</f>
        <v>32.4</v>
      </c>
      <c r="H11" s="33">
        <f>C11*0.0019</f>
        <v>0.34200000000000003</v>
      </c>
      <c r="I11" s="34">
        <v>0</v>
      </c>
      <c r="J11" s="33">
        <f>C11*0.0002</f>
        <v>3.6000000000000004E-2</v>
      </c>
      <c r="K11" s="33">
        <f>C11*0.0009</f>
        <v>0.16200000000000001</v>
      </c>
      <c r="L11" s="33">
        <f>C11*0.1149</f>
        <v>20.682000000000002</v>
      </c>
      <c r="M11" s="33">
        <f>C11*1.3831</f>
        <v>248.958</v>
      </c>
      <c r="N11" s="33">
        <f>C11*0.925</f>
        <v>166.5</v>
      </c>
      <c r="O11" s="33">
        <f>C11*0.0311</f>
        <v>5.5979999999999999</v>
      </c>
    </row>
    <row r="12" spans="1:15" x14ac:dyDescent="0.25">
      <c r="A12" s="11">
        <v>377</v>
      </c>
      <c r="B12" s="64" t="s">
        <v>77</v>
      </c>
      <c r="C12" s="11">
        <v>200</v>
      </c>
      <c r="D12" s="11">
        <v>1.4</v>
      </c>
      <c r="E12" s="11">
        <v>1.6</v>
      </c>
      <c r="F12" s="11">
        <v>22.31</v>
      </c>
      <c r="G12" s="74">
        <v>105</v>
      </c>
      <c r="H12" s="33">
        <v>0.02</v>
      </c>
      <c r="I12" s="34">
        <v>0.65</v>
      </c>
      <c r="J12" s="33">
        <v>0.01</v>
      </c>
      <c r="K12" s="33">
        <v>7.0000000000000007E-2</v>
      </c>
      <c r="L12" s="33">
        <v>60.4</v>
      </c>
      <c r="M12" s="33">
        <v>45</v>
      </c>
      <c r="N12" s="33">
        <v>7</v>
      </c>
      <c r="O12" s="33">
        <v>0.09</v>
      </c>
    </row>
    <row r="13" spans="1:15" x14ac:dyDescent="0.25">
      <c r="A13" s="11"/>
      <c r="B13" s="70" t="s">
        <v>78</v>
      </c>
      <c r="C13" s="11">
        <v>200</v>
      </c>
      <c r="D13" s="11">
        <v>1.54</v>
      </c>
      <c r="E13" s="11">
        <v>1.63</v>
      </c>
      <c r="F13" s="11">
        <v>9.36</v>
      </c>
      <c r="G13" s="86">
        <v>56</v>
      </c>
      <c r="H13" s="33">
        <v>0.02</v>
      </c>
      <c r="I13" s="34">
        <v>0.72</v>
      </c>
      <c r="J13" s="33">
        <v>0.01</v>
      </c>
      <c r="K13" s="33">
        <v>0</v>
      </c>
      <c r="L13" s="33">
        <v>63.6</v>
      </c>
      <c r="M13" s="33">
        <v>50.76</v>
      </c>
      <c r="N13" s="33">
        <v>10.08</v>
      </c>
      <c r="O13" s="33">
        <v>0.62</v>
      </c>
    </row>
    <row r="14" spans="1:15" x14ac:dyDescent="0.25">
      <c r="A14" s="11"/>
      <c r="B14" s="66" t="s">
        <v>26</v>
      </c>
      <c r="C14" s="11">
        <v>35</v>
      </c>
      <c r="D14" s="11">
        <v>2.31</v>
      </c>
      <c r="E14" s="11">
        <v>0.39</v>
      </c>
      <c r="F14" s="11">
        <v>14.35</v>
      </c>
      <c r="G14" s="74">
        <v>72.099999999999994</v>
      </c>
      <c r="H14" s="33"/>
      <c r="I14" s="34"/>
      <c r="J14" s="33"/>
      <c r="K14" s="33"/>
      <c r="L14" s="33"/>
      <c r="M14" s="33"/>
      <c r="N14" s="33"/>
      <c r="O14" s="33"/>
    </row>
    <row r="15" spans="1:15" x14ac:dyDescent="0.25">
      <c r="A15" s="11"/>
      <c r="B15" s="20" t="s">
        <v>31</v>
      </c>
      <c r="C15" s="9">
        <v>30</v>
      </c>
      <c r="D15" s="9">
        <v>2</v>
      </c>
      <c r="E15" s="9">
        <v>0.7</v>
      </c>
      <c r="F15" s="9">
        <v>13.7</v>
      </c>
      <c r="G15" s="18">
        <v>70.5</v>
      </c>
      <c r="H15" s="33"/>
      <c r="I15" s="34"/>
      <c r="J15" s="33"/>
      <c r="K15" s="33"/>
      <c r="L15" s="33"/>
      <c r="M15" s="33"/>
      <c r="N15" s="33"/>
      <c r="O15" s="33"/>
    </row>
    <row r="16" spans="1:15" x14ac:dyDescent="0.25">
      <c r="A16" s="11"/>
      <c r="B16" s="67" t="s">
        <v>34</v>
      </c>
      <c r="C16" s="11">
        <v>875</v>
      </c>
      <c r="D16" s="31">
        <f t="shared" ref="D16:O16" si="0">SUM(D9:D14)</f>
        <v>29.503999999999994</v>
      </c>
      <c r="E16" s="31">
        <f t="shared" si="0"/>
        <v>35.484660000000005</v>
      </c>
      <c r="F16" s="31">
        <f t="shared" si="0"/>
        <v>113.49133</v>
      </c>
      <c r="G16" s="55">
        <f t="shared" si="0"/>
        <v>522.83332999999993</v>
      </c>
      <c r="H16" s="42">
        <f t="shared" si="0"/>
        <v>0.58866000000000007</v>
      </c>
      <c r="I16" s="56">
        <f t="shared" si="0"/>
        <v>41.363329999999998</v>
      </c>
      <c r="J16" s="42">
        <f t="shared" si="0"/>
        <v>5.5959999999999992</v>
      </c>
      <c r="K16" s="42">
        <f t="shared" si="0"/>
        <v>1.6319999999999999</v>
      </c>
      <c r="L16" s="42">
        <f t="shared" si="0"/>
        <v>199.36866599999999</v>
      </c>
      <c r="M16" s="42">
        <f t="shared" si="0"/>
        <v>599.65800000000002</v>
      </c>
      <c r="N16" s="42">
        <f t="shared" si="0"/>
        <v>215.48000000000002</v>
      </c>
      <c r="O16" s="42">
        <f t="shared" si="0"/>
        <v>12.561333299999999</v>
      </c>
    </row>
    <row r="17" spans="1:15" x14ac:dyDescent="0.25">
      <c r="A17" s="11"/>
      <c r="B17" s="31" t="s">
        <v>29</v>
      </c>
      <c r="C17" s="11"/>
      <c r="D17" s="11"/>
      <c r="E17" s="11"/>
      <c r="F17" s="11"/>
      <c r="G17" s="74"/>
      <c r="H17" s="33"/>
      <c r="I17" s="34"/>
      <c r="J17" s="33"/>
      <c r="K17" s="33"/>
      <c r="L17" s="33"/>
      <c r="M17" s="33"/>
      <c r="N17" s="33"/>
      <c r="O17" s="33"/>
    </row>
    <row r="18" spans="1:15" ht="38.25" x14ac:dyDescent="0.25">
      <c r="A18" s="11">
        <v>34</v>
      </c>
      <c r="B18" s="68" t="s">
        <v>50</v>
      </c>
      <c r="C18" s="11">
        <v>100</v>
      </c>
      <c r="D18" s="11">
        <f>C18*0.025</f>
        <v>2.5</v>
      </c>
      <c r="E18" s="11">
        <f>C18*0.0725</f>
        <v>7.2499999999999991</v>
      </c>
      <c r="F18" s="11">
        <f>C18*0.0653333</f>
        <v>6.5333299999999994</v>
      </c>
      <c r="G18" s="74">
        <f>C18*1.015</f>
        <v>101.49999999999999</v>
      </c>
      <c r="H18" s="33">
        <f>C18*0.0005</f>
        <v>0.05</v>
      </c>
      <c r="I18" s="34">
        <f>C18*0.0733333</f>
        <v>7.3333300000000001</v>
      </c>
      <c r="J18" s="33">
        <f>C18*0.247</f>
        <v>24.7</v>
      </c>
      <c r="K18" s="33">
        <f>C18*0.0008</f>
        <v>0.08</v>
      </c>
      <c r="L18" s="33">
        <f>C18*0.2805</f>
        <v>28.050000000000004</v>
      </c>
      <c r="M18" s="33">
        <f>C18*0.53216666</f>
        <v>53.216666000000004</v>
      </c>
      <c r="N18" s="33">
        <f>C18*0.16933333</f>
        <v>16.933333000000001</v>
      </c>
      <c r="O18" s="33">
        <f>C18*0.009166666</f>
        <v>0.9166666</v>
      </c>
    </row>
    <row r="19" spans="1:15" ht="51" customHeight="1" x14ac:dyDescent="0.25">
      <c r="A19" s="11">
        <v>82</v>
      </c>
      <c r="B19" s="53" t="s">
        <v>81</v>
      </c>
      <c r="C19" s="11">
        <v>200</v>
      </c>
      <c r="D19" s="11">
        <f>C19*0.00824</f>
        <v>1.6480000000000001</v>
      </c>
      <c r="E19" s="11">
        <f>C19*0.02108</f>
        <v>4.2160000000000002</v>
      </c>
      <c r="F19" s="11">
        <f>C19*0.05204</f>
        <v>10.408000000000001</v>
      </c>
      <c r="G19" s="74">
        <f>C19*0.432</f>
        <v>86.4</v>
      </c>
      <c r="H19" s="33">
        <f>C19*0.0002</f>
        <v>0.04</v>
      </c>
      <c r="I19" s="34">
        <f>C19*0.08184</f>
        <v>16.367999999999999</v>
      </c>
      <c r="J19" s="33">
        <f>C19*0.00012</f>
        <v>2.4E-2</v>
      </c>
      <c r="K19" s="33">
        <f>C19*0.0002</f>
        <v>0.04</v>
      </c>
      <c r="L19" s="33">
        <f>C19*0.17156</f>
        <v>34.311999999999998</v>
      </c>
      <c r="M19" s="33">
        <f>C19*0.222</f>
        <v>44.4</v>
      </c>
      <c r="N19" s="33">
        <f>C19*0.08932</f>
        <v>17.864000000000001</v>
      </c>
      <c r="O19" s="33">
        <f>C19*0.0048</f>
        <v>0.96</v>
      </c>
    </row>
    <row r="20" spans="1:15" x14ac:dyDescent="0.25">
      <c r="A20" s="12">
        <v>227</v>
      </c>
      <c r="B20" s="20" t="s">
        <v>115</v>
      </c>
      <c r="C20" s="9">
        <v>105</v>
      </c>
      <c r="D20" s="9">
        <v>8.0299999999999994</v>
      </c>
      <c r="E20" s="9">
        <v>15.13</v>
      </c>
      <c r="F20" s="9">
        <v>0.1</v>
      </c>
      <c r="G20" s="18">
        <v>160.5</v>
      </c>
      <c r="H20" s="17">
        <v>0.05</v>
      </c>
      <c r="I20" s="19">
        <v>21.5</v>
      </c>
      <c r="J20" s="17">
        <v>0.05</v>
      </c>
      <c r="K20" s="17">
        <v>0.05</v>
      </c>
      <c r="L20" s="17">
        <v>8.75</v>
      </c>
      <c r="M20" s="17">
        <v>81.099999999999994</v>
      </c>
      <c r="N20" s="17">
        <v>10.67</v>
      </c>
      <c r="O20" s="17">
        <v>0.46</v>
      </c>
    </row>
    <row r="21" spans="1:15" ht="30" x14ac:dyDescent="0.25">
      <c r="A21" s="12">
        <v>203</v>
      </c>
      <c r="B21" s="21" t="s">
        <v>24</v>
      </c>
      <c r="C21" s="9">
        <v>180</v>
      </c>
      <c r="D21" s="9">
        <f>C21*0.0365</f>
        <v>6.5699999999999994</v>
      </c>
      <c r="E21" s="9">
        <f>C21*0.0332</f>
        <v>5.976</v>
      </c>
      <c r="F21" s="9">
        <f>C21*0.2325</f>
        <v>41.85</v>
      </c>
      <c r="G21" s="18">
        <f>C21*1.41</f>
        <v>253.79999999999998</v>
      </c>
      <c r="H21" s="17">
        <f>C21*0.0008</f>
        <v>0.14400000000000002</v>
      </c>
      <c r="I21" s="19">
        <v>0</v>
      </c>
      <c r="J21" s="17">
        <f>C21*0.0002</f>
        <v>3.6000000000000004E-2</v>
      </c>
      <c r="K21" s="17">
        <f>C21*0.0003</f>
        <v>5.3999999999999992E-2</v>
      </c>
      <c r="L21" s="17">
        <f>C21*0.273</f>
        <v>49.14</v>
      </c>
      <c r="M21" s="17">
        <f>C21*0.4004</f>
        <v>72.072000000000003</v>
      </c>
      <c r="N21" s="17">
        <f>C21*0.1639</f>
        <v>29.501999999999999</v>
      </c>
      <c r="O21" s="17">
        <f>C21*0.0066</f>
        <v>1.1879999999999999</v>
      </c>
    </row>
    <row r="22" spans="1:15" ht="26.25" x14ac:dyDescent="0.25">
      <c r="A22" s="11">
        <v>349</v>
      </c>
      <c r="B22" s="3" t="s">
        <v>82</v>
      </c>
      <c r="C22" s="11">
        <v>200</v>
      </c>
      <c r="D22" s="11">
        <v>0</v>
      </c>
      <c r="E22" s="11">
        <v>0</v>
      </c>
      <c r="F22" s="11">
        <v>9.98</v>
      </c>
      <c r="G22" s="74">
        <v>104</v>
      </c>
      <c r="H22" s="33">
        <v>0</v>
      </c>
      <c r="I22" s="34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</row>
    <row r="23" spans="1:15" x14ac:dyDescent="0.25">
      <c r="A23" s="11"/>
      <c r="B23" s="20" t="s">
        <v>26</v>
      </c>
      <c r="C23" s="9">
        <v>35</v>
      </c>
      <c r="D23" s="9">
        <v>2.31</v>
      </c>
      <c r="E23" s="9">
        <v>0.39</v>
      </c>
      <c r="F23" s="9">
        <v>14.35</v>
      </c>
      <c r="G23" s="18">
        <v>72.099999999999994</v>
      </c>
      <c r="H23" s="33"/>
      <c r="I23" s="34"/>
      <c r="J23" s="33"/>
      <c r="K23" s="33"/>
      <c r="L23" s="33"/>
      <c r="M23" s="33"/>
      <c r="N23" s="33"/>
      <c r="O23" s="33"/>
    </row>
    <row r="24" spans="1:15" x14ac:dyDescent="0.25">
      <c r="A24" s="11"/>
      <c r="B24" s="20" t="s">
        <v>31</v>
      </c>
      <c r="C24" s="9">
        <v>30</v>
      </c>
      <c r="D24" s="9">
        <v>2</v>
      </c>
      <c r="E24" s="9">
        <v>0.7</v>
      </c>
      <c r="F24" s="9">
        <v>13.7</v>
      </c>
      <c r="G24" s="18">
        <v>70.5</v>
      </c>
      <c r="H24" s="33"/>
      <c r="I24" s="34"/>
      <c r="J24" s="33"/>
      <c r="K24" s="33"/>
      <c r="L24" s="33"/>
      <c r="M24" s="33"/>
      <c r="N24" s="33"/>
      <c r="O24" s="33"/>
    </row>
    <row r="25" spans="1:15" x14ac:dyDescent="0.25">
      <c r="A25" s="11">
        <v>338</v>
      </c>
      <c r="B25" s="66" t="s">
        <v>83</v>
      </c>
      <c r="C25" s="11">
        <v>100</v>
      </c>
      <c r="D25" s="11">
        <v>0.4</v>
      </c>
      <c r="E25" s="11">
        <v>0.3</v>
      </c>
      <c r="F25" s="11">
        <v>10.3</v>
      </c>
      <c r="G25" s="87">
        <v>47</v>
      </c>
      <c r="H25" s="33">
        <v>0.02</v>
      </c>
      <c r="I25" s="34">
        <v>5</v>
      </c>
      <c r="J25" s="33">
        <v>0</v>
      </c>
      <c r="K25" s="33">
        <v>0.03</v>
      </c>
      <c r="L25" s="33">
        <v>19</v>
      </c>
      <c r="M25" s="33">
        <v>16</v>
      </c>
      <c r="N25" s="33">
        <v>12</v>
      </c>
      <c r="O25" s="33">
        <v>2.2999999999999998</v>
      </c>
    </row>
    <row r="26" spans="1:15" x14ac:dyDescent="0.25">
      <c r="A26" s="11"/>
      <c r="B26" s="67" t="s">
        <v>34</v>
      </c>
      <c r="C26" s="11">
        <f>SUM(C18:C25)</f>
        <v>950</v>
      </c>
      <c r="D26" s="31">
        <f t="shared" ref="D26:O26" si="1">SUM(D18:D25)</f>
        <v>23.457999999999995</v>
      </c>
      <c r="E26" s="31">
        <f t="shared" si="1"/>
        <v>33.962000000000003</v>
      </c>
      <c r="F26" s="31">
        <f t="shared" si="1"/>
        <v>107.22132999999999</v>
      </c>
      <c r="G26" s="55">
        <f t="shared" si="1"/>
        <v>895.8</v>
      </c>
      <c r="H26" s="42">
        <f t="shared" si="1"/>
        <v>0.30400000000000005</v>
      </c>
      <c r="I26" s="56">
        <f t="shared" si="1"/>
        <v>50.201329999999999</v>
      </c>
      <c r="J26" s="42">
        <f t="shared" si="1"/>
        <v>24.810000000000002</v>
      </c>
      <c r="K26" s="42">
        <f t="shared" si="1"/>
        <v>0.254</v>
      </c>
      <c r="L26" s="42">
        <f t="shared" si="1"/>
        <v>139.25200000000001</v>
      </c>
      <c r="M26" s="42">
        <f t="shared" si="1"/>
        <v>266.78866600000003</v>
      </c>
      <c r="N26" s="42">
        <f t="shared" si="1"/>
        <v>86.969333000000006</v>
      </c>
      <c r="O26" s="42">
        <f t="shared" si="1"/>
        <v>5.8246665999999996</v>
      </c>
    </row>
    <row r="27" spans="1:15" x14ac:dyDescent="0.25">
      <c r="A27" s="11"/>
      <c r="B27" s="67" t="s">
        <v>33</v>
      </c>
      <c r="C27" s="11">
        <f>C16+C26</f>
        <v>1825</v>
      </c>
      <c r="D27" s="31">
        <f t="shared" ref="D27:O27" si="2">D16+D26</f>
        <v>52.961999999999989</v>
      </c>
      <c r="E27" s="31">
        <f t="shared" si="2"/>
        <v>69.446660000000008</v>
      </c>
      <c r="F27" s="31">
        <f t="shared" si="2"/>
        <v>220.71266</v>
      </c>
      <c r="G27" s="55">
        <f t="shared" si="2"/>
        <v>1418.6333299999999</v>
      </c>
      <c r="H27" s="42">
        <f t="shared" si="2"/>
        <v>0.89266000000000012</v>
      </c>
      <c r="I27" s="56">
        <f t="shared" si="2"/>
        <v>91.564660000000003</v>
      </c>
      <c r="J27" s="42">
        <f t="shared" si="2"/>
        <v>30.406000000000002</v>
      </c>
      <c r="K27" s="42">
        <f t="shared" si="2"/>
        <v>1.8859999999999999</v>
      </c>
      <c r="L27" s="42">
        <f t="shared" si="2"/>
        <v>338.62066600000003</v>
      </c>
      <c r="M27" s="42">
        <f t="shared" si="2"/>
        <v>866.44666600000005</v>
      </c>
      <c r="N27" s="42">
        <f t="shared" si="2"/>
        <v>302.44933300000002</v>
      </c>
      <c r="O27" s="42">
        <f t="shared" si="2"/>
        <v>18.385999899999998</v>
      </c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4" zoomScaleNormal="100" workbookViewId="0">
      <selection activeCell="A9" sqref="A9:B9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8.75" x14ac:dyDescent="0.3">
      <c r="A1" s="5"/>
      <c r="B1" s="5"/>
      <c r="C1" s="5"/>
      <c r="D1" s="5"/>
      <c r="E1" s="5"/>
      <c r="F1" s="7" t="s">
        <v>0</v>
      </c>
      <c r="G1" s="47"/>
      <c r="H1" s="8"/>
      <c r="I1" s="5"/>
      <c r="J1" s="5"/>
      <c r="K1" s="5"/>
      <c r="L1" s="5"/>
      <c r="M1" s="5"/>
      <c r="N1" s="5"/>
      <c r="O1" s="5"/>
    </row>
    <row r="2" spans="1:1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75" x14ac:dyDescent="0.25">
      <c r="A4" s="5" t="s">
        <v>3</v>
      </c>
      <c r="B4" s="6" t="s">
        <v>99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45" customHeight="1" x14ac:dyDescent="0.25">
      <c r="A6" s="106" t="s">
        <v>5</v>
      </c>
      <c r="B6" s="107" t="s">
        <v>6</v>
      </c>
      <c r="C6" s="106" t="s">
        <v>7</v>
      </c>
      <c r="D6" s="103" t="s">
        <v>8</v>
      </c>
      <c r="E6" s="104"/>
      <c r="F6" s="105"/>
      <c r="G6" s="109" t="s">
        <v>12</v>
      </c>
      <c r="H6" s="103" t="s">
        <v>13</v>
      </c>
      <c r="I6" s="104"/>
      <c r="J6" s="104"/>
      <c r="K6" s="105"/>
      <c r="L6" s="103" t="s">
        <v>18</v>
      </c>
      <c r="M6" s="104"/>
      <c r="N6" s="104"/>
      <c r="O6" s="105"/>
    </row>
    <row r="7" spans="1:15" x14ac:dyDescent="0.25">
      <c r="A7" s="106"/>
      <c r="B7" s="108"/>
      <c r="C7" s="106"/>
      <c r="D7" s="9" t="s">
        <v>9</v>
      </c>
      <c r="E7" s="9" t="s">
        <v>10</v>
      </c>
      <c r="F7" s="9" t="s">
        <v>11</v>
      </c>
      <c r="G7" s="110"/>
      <c r="H7" s="9" t="s">
        <v>14</v>
      </c>
      <c r="I7" s="58" t="s">
        <v>15</v>
      </c>
      <c r="J7" s="11" t="s">
        <v>16</v>
      </c>
      <c r="K7" s="12" t="s">
        <v>17</v>
      </c>
      <c r="L7" s="9" t="s">
        <v>19</v>
      </c>
      <c r="M7" s="9" t="s">
        <v>20</v>
      </c>
      <c r="N7" s="9" t="s">
        <v>21</v>
      </c>
      <c r="O7" s="9" t="s">
        <v>22</v>
      </c>
    </row>
    <row r="8" spans="1:15" ht="15.75" x14ac:dyDescent="0.25">
      <c r="A8" s="9"/>
      <c r="B8" s="48" t="s">
        <v>28</v>
      </c>
      <c r="C8" s="9"/>
      <c r="D8" s="17"/>
      <c r="E8" s="17"/>
      <c r="F8" s="17"/>
      <c r="G8" s="18"/>
      <c r="H8" s="17"/>
      <c r="I8" s="19"/>
      <c r="J8" s="17"/>
      <c r="K8" s="17"/>
      <c r="L8" s="17"/>
      <c r="M8" s="17"/>
      <c r="N8" s="17"/>
      <c r="O8" s="17"/>
    </row>
    <row r="9" spans="1:15" x14ac:dyDescent="0.25">
      <c r="A9" s="11">
        <v>71</v>
      </c>
      <c r="B9" s="41" t="s">
        <v>113</v>
      </c>
      <c r="C9" s="33">
        <v>60</v>
      </c>
      <c r="D9" s="33">
        <f>C9*0.011</f>
        <v>0.65999999999999992</v>
      </c>
      <c r="E9" s="33">
        <f>C9*0.002</f>
        <v>0.12</v>
      </c>
      <c r="F9" s="33">
        <f>C9*0.038</f>
        <v>2.2799999999999998</v>
      </c>
      <c r="G9" s="34">
        <f>C9*0.24</f>
        <v>14.399999999999999</v>
      </c>
      <c r="H9" s="33">
        <f>C9*0.0006</f>
        <v>3.5999999999999997E-2</v>
      </c>
      <c r="I9" s="34">
        <f>C9*0.25</f>
        <v>15</v>
      </c>
      <c r="J9" s="33">
        <v>0</v>
      </c>
      <c r="K9" s="33">
        <f>C9*0.0004</f>
        <v>2.4E-2</v>
      </c>
      <c r="L9" s="33">
        <f>C9*0.14</f>
        <v>8.4</v>
      </c>
      <c r="M9" s="33">
        <f>C9*0.26</f>
        <v>15.600000000000001</v>
      </c>
      <c r="N9" s="33">
        <f>C9*0.2</f>
        <v>12</v>
      </c>
      <c r="O9" s="33">
        <f>C9*0.009</f>
        <v>0.53999999999999992</v>
      </c>
    </row>
    <row r="10" spans="1:15" ht="38.25" x14ac:dyDescent="0.25">
      <c r="A10" s="39">
        <v>278</v>
      </c>
      <c r="B10" s="64" t="s">
        <v>84</v>
      </c>
      <c r="C10" s="39">
        <v>220</v>
      </c>
      <c r="D10" s="33">
        <v>7.83</v>
      </c>
      <c r="E10" s="33">
        <v>8.75</v>
      </c>
      <c r="F10" s="33">
        <v>10.25</v>
      </c>
      <c r="G10" s="34">
        <v>151</v>
      </c>
      <c r="H10" s="33">
        <v>0.05</v>
      </c>
      <c r="I10" s="34">
        <v>0.72</v>
      </c>
      <c r="J10" s="33">
        <v>33.92</v>
      </c>
      <c r="K10" s="33">
        <v>7.0000000000000007E-2</v>
      </c>
      <c r="L10" s="33">
        <v>27.95</v>
      </c>
      <c r="M10" s="33">
        <v>88.37</v>
      </c>
      <c r="N10" s="33">
        <v>18.329999999999998</v>
      </c>
      <c r="O10" s="33">
        <v>0.87</v>
      </c>
    </row>
    <row r="11" spans="1:15" ht="30" x14ac:dyDescent="0.25">
      <c r="A11" s="39">
        <v>304</v>
      </c>
      <c r="B11" s="69" t="s">
        <v>38</v>
      </c>
      <c r="C11" s="39">
        <v>150</v>
      </c>
      <c r="D11" s="33">
        <f>C11*0.0254</f>
        <v>3.81</v>
      </c>
      <c r="E11" s="33">
        <f>C11*0.0407</f>
        <v>6.1050000000000004</v>
      </c>
      <c r="F11" s="33">
        <f>C11*0.2575</f>
        <v>38.625</v>
      </c>
      <c r="G11" s="34">
        <f>C11*1.52</f>
        <v>228</v>
      </c>
      <c r="H11" s="33">
        <f>C11*0.0002</f>
        <v>3.0000000000000002E-2</v>
      </c>
      <c r="I11" s="34">
        <v>0</v>
      </c>
      <c r="J11" s="33">
        <f>C11*0.0002</f>
        <v>3.0000000000000002E-2</v>
      </c>
      <c r="K11" s="33">
        <f>C11*0.0001</f>
        <v>1.5000000000000001E-2</v>
      </c>
      <c r="L11" s="33">
        <f>C11*0.2182</f>
        <v>32.730000000000004</v>
      </c>
      <c r="M11" s="33">
        <f>C11*0.5485</f>
        <v>82.274999999999991</v>
      </c>
      <c r="N11" s="33">
        <f>C11*0.1911</f>
        <v>28.664999999999999</v>
      </c>
      <c r="O11" s="33">
        <f>C11*0.0051</f>
        <v>0.76500000000000001</v>
      </c>
    </row>
    <row r="12" spans="1:15" ht="28.5" x14ac:dyDescent="0.25">
      <c r="A12" s="11">
        <v>383</v>
      </c>
      <c r="B12" s="21" t="s">
        <v>67</v>
      </c>
      <c r="C12" s="11">
        <v>200</v>
      </c>
      <c r="D12" s="11">
        <v>4.18</v>
      </c>
      <c r="E12" s="11">
        <v>3.54</v>
      </c>
      <c r="F12" s="11">
        <v>17.579999999999998</v>
      </c>
      <c r="G12" s="88">
        <v>118</v>
      </c>
      <c r="H12" s="33">
        <v>0.06</v>
      </c>
      <c r="I12" s="34">
        <v>1.95</v>
      </c>
      <c r="J12" s="33">
        <v>0.03</v>
      </c>
      <c r="K12" s="33">
        <v>0.22</v>
      </c>
      <c r="L12" s="33">
        <v>180</v>
      </c>
      <c r="M12" s="33">
        <v>135</v>
      </c>
      <c r="N12" s="33">
        <v>21</v>
      </c>
      <c r="O12" s="33">
        <v>0.09</v>
      </c>
    </row>
    <row r="13" spans="1:15" x14ac:dyDescent="0.25">
      <c r="A13" s="11"/>
      <c r="B13" s="66" t="s">
        <v>26</v>
      </c>
      <c r="C13" s="11">
        <v>35</v>
      </c>
      <c r="D13" s="11">
        <v>2.31</v>
      </c>
      <c r="E13" s="11">
        <v>0.39</v>
      </c>
      <c r="F13" s="11">
        <v>14.35</v>
      </c>
      <c r="G13" s="74">
        <v>72.099999999999994</v>
      </c>
      <c r="H13" s="33"/>
      <c r="I13" s="34"/>
      <c r="J13" s="33"/>
      <c r="K13" s="33"/>
      <c r="L13" s="33"/>
      <c r="M13" s="33"/>
      <c r="N13" s="33"/>
      <c r="O13" s="33"/>
    </row>
    <row r="14" spans="1:15" x14ac:dyDescent="0.25">
      <c r="A14" s="11"/>
      <c r="B14" s="20" t="s">
        <v>31</v>
      </c>
      <c r="C14" s="9">
        <v>30</v>
      </c>
      <c r="D14" s="9">
        <v>2</v>
      </c>
      <c r="E14" s="9">
        <v>0.7</v>
      </c>
      <c r="F14" s="9">
        <v>13.7</v>
      </c>
      <c r="G14" s="18">
        <v>70.5</v>
      </c>
      <c r="H14" s="33"/>
      <c r="I14" s="34"/>
      <c r="J14" s="33"/>
      <c r="K14" s="33"/>
      <c r="L14" s="33"/>
      <c r="M14" s="33"/>
      <c r="N14" s="33"/>
      <c r="O14" s="33"/>
    </row>
    <row r="15" spans="1:15" x14ac:dyDescent="0.25">
      <c r="A15" s="11"/>
      <c r="B15" s="67" t="s">
        <v>34</v>
      </c>
      <c r="C15" s="11">
        <f>SUM(C9:C14)</f>
        <v>695</v>
      </c>
      <c r="D15" s="31">
        <f t="shared" ref="D15:O15" si="0">SUM(D9:D13)</f>
        <v>18.79</v>
      </c>
      <c r="E15" s="31">
        <f t="shared" si="0"/>
        <v>18.905000000000001</v>
      </c>
      <c r="F15" s="31">
        <f t="shared" si="0"/>
        <v>83.084999999999994</v>
      </c>
      <c r="G15" s="55">
        <f t="shared" si="0"/>
        <v>583.5</v>
      </c>
      <c r="H15" s="42">
        <f t="shared" si="0"/>
        <v>0.17599999999999999</v>
      </c>
      <c r="I15" s="56">
        <f t="shared" si="0"/>
        <v>17.670000000000002</v>
      </c>
      <c r="J15" s="42">
        <f t="shared" si="0"/>
        <v>33.980000000000004</v>
      </c>
      <c r="K15" s="42">
        <f t="shared" si="0"/>
        <v>0.32900000000000001</v>
      </c>
      <c r="L15" s="42">
        <f t="shared" si="0"/>
        <v>249.08</v>
      </c>
      <c r="M15" s="42">
        <f t="shared" si="0"/>
        <v>321.245</v>
      </c>
      <c r="N15" s="42">
        <f t="shared" si="0"/>
        <v>79.995000000000005</v>
      </c>
      <c r="O15" s="42">
        <f t="shared" si="0"/>
        <v>2.2649999999999997</v>
      </c>
    </row>
    <row r="16" spans="1:15" x14ac:dyDescent="0.25">
      <c r="A16" s="11"/>
      <c r="B16" s="31" t="s">
        <v>29</v>
      </c>
      <c r="C16" s="11"/>
      <c r="D16" s="11"/>
      <c r="E16" s="11"/>
      <c r="F16" s="11"/>
      <c r="G16" s="74"/>
      <c r="H16" s="33"/>
      <c r="I16" s="34"/>
      <c r="J16" s="33"/>
      <c r="K16" s="33"/>
      <c r="L16" s="33"/>
      <c r="M16" s="33"/>
      <c r="N16" s="33"/>
      <c r="O16" s="33"/>
    </row>
    <row r="17" spans="1:15" ht="38.25" customHeight="1" x14ac:dyDescent="0.25">
      <c r="A17" s="11">
        <v>43</v>
      </c>
      <c r="B17" s="64" t="s">
        <v>97</v>
      </c>
      <c r="C17" s="11">
        <v>60</v>
      </c>
      <c r="D17" s="11">
        <f>C17*0.0145</f>
        <v>0.87</v>
      </c>
      <c r="E17" s="11">
        <f>C17*0.184</f>
        <v>11.04</v>
      </c>
      <c r="F17" s="11">
        <f>C17*0.0651666</f>
        <v>3.9099960000000005</v>
      </c>
      <c r="G17" s="74">
        <f>C17*1.966666</f>
        <v>117.99996</v>
      </c>
      <c r="H17" s="33">
        <f>C17*0.00033333</f>
        <v>1.9999800000000002E-2</v>
      </c>
      <c r="I17" s="34">
        <f>C17*0.06716666</f>
        <v>4.0299996</v>
      </c>
      <c r="J17" s="33">
        <v>0</v>
      </c>
      <c r="K17" s="33">
        <f>C17*0.00033333</f>
        <v>1.9999800000000002E-2</v>
      </c>
      <c r="L17" s="33">
        <f>C17*0.3645</f>
        <v>21.87</v>
      </c>
      <c r="M17" s="33">
        <f>C17*0.4325</f>
        <v>25.95</v>
      </c>
      <c r="N17" s="33">
        <f>C17*0.238</f>
        <v>14.28</v>
      </c>
      <c r="O17" s="33">
        <f>C17*0.0085</f>
        <v>0.51</v>
      </c>
    </row>
    <row r="18" spans="1:15" ht="51" x14ac:dyDescent="0.25">
      <c r="A18" s="11">
        <v>99</v>
      </c>
      <c r="B18" s="63" t="s">
        <v>85</v>
      </c>
      <c r="C18" s="11">
        <v>205</v>
      </c>
      <c r="D18" s="11">
        <f>C18*0.00808</f>
        <v>1.6564000000000001</v>
      </c>
      <c r="E18" s="11">
        <f>C18*0.02148</f>
        <v>4.4033999999999995</v>
      </c>
      <c r="F18" s="11">
        <f>C18*0.0456</f>
        <v>9.3480000000000008</v>
      </c>
      <c r="G18" s="74">
        <f>C18*0.416</f>
        <v>85.28</v>
      </c>
      <c r="H18" s="33">
        <f>C18*0.00032</f>
        <v>6.5600000000000006E-2</v>
      </c>
      <c r="I18" s="34">
        <f>C18*0.08504</f>
        <v>17.433199999999999</v>
      </c>
      <c r="J18" s="33">
        <f>C18*0.00012</f>
        <v>2.46E-2</v>
      </c>
      <c r="K18" s="33">
        <f>C18*0.00024</f>
        <v>4.9200000000000001E-2</v>
      </c>
      <c r="L18" s="33">
        <f>C18*0.12048</f>
        <v>24.698399999999999</v>
      </c>
      <c r="M18" s="33">
        <f>C18*0.2204</f>
        <v>45.182000000000002</v>
      </c>
      <c r="N18" s="33">
        <f>C18*0.0878</f>
        <v>17.999000000000002</v>
      </c>
      <c r="O18" s="33">
        <f>C18*0.0032</f>
        <v>0.65600000000000003</v>
      </c>
    </row>
    <row r="19" spans="1:15" ht="40.5" customHeight="1" x14ac:dyDescent="0.25">
      <c r="A19" s="11">
        <v>237</v>
      </c>
      <c r="B19" s="63" t="s">
        <v>86</v>
      </c>
      <c r="C19" s="11">
        <v>90</v>
      </c>
      <c r="D19" s="11">
        <f>C19*0.11163636</f>
        <v>10.047272400000001</v>
      </c>
      <c r="E19" s="11">
        <f>C19*0.13654545</f>
        <v>12.2890905</v>
      </c>
      <c r="F19" s="11">
        <f>C19*0.134727272</f>
        <v>12.12545448</v>
      </c>
      <c r="G19" s="74">
        <f>C19*2.218</f>
        <v>199.62</v>
      </c>
      <c r="H19" s="33">
        <f>C19*0.0005</f>
        <v>4.4999999999999998E-2</v>
      </c>
      <c r="I19" s="34">
        <f>C19*0.0029</f>
        <v>0.26100000000000001</v>
      </c>
      <c r="J19" s="33">
        <f>C19*0.411</f>
        <v>36.989999999999995</v>
      </c>
      <c r="K19" s="33">
        <f>C19*0.013</f>
        <v>1.17</v>
      </c>
      <c r="L19" s="33">
        <f>C19*0.417</f>
        <v>37.53</v>
      </c>
      <c r="M19" s="33">
        <f>C19*1.515</f>
        <v>136.35</v>
      </c>
      <c r="N19" s="33">
        <f>C19*0.35</f>
        <v>31.499999999999996</v>
      </c>
      <c r="O19" s="33">
        <f>C19*0.013</f>
        <v>1.17</v>
      </c>
    </row>
    <row r="20" spans="1:15" ht="30" x14ac:dyDescent="0.25">
      <c r="A20" s="11">
        <v>312</v>
      </c>
      <c r="B20" s="69" t="s">
        <v>30</v>
      </c>
      <c r="C20" s="11">
        <v>150</v>
      </c>
      <c r="D20" s="11">
        <f>C20*0.0216</f>
        <v>3.24</v>
      </c>
      <c r="E20" s="11">
        <f>C20*0.0373</f>
        <v>5.5949999999999998</v>
      </c>
      <c r="F20" s="11">
        <f>C20*0.147</f>
        <v>22.049999999999997</v>
      </c>
      <c r="G20" s="74">
        <f>C20*1.04</f>
        <v>156</v>
      </c>
      <c r="H20" s="33">
        <f>C20*0.001</f>
        <v>0.15</v>
      </c>
      <c r="I20" s="34">
        <f>C20*0.173</f>
        <v>25.95</v>
      </c>
      <c r="J20" s="33">
        <f>C20*0.0002</f>
        <v>3.0000000000000002E-2</v>
      </c>
      <c r="K20" s="33">
        <f>C20*0.0008</f>
        <v>0.12000000000000001</v>
      </c>
      <c r="L20" s="33">
        <f>C20*0.4633</f>
        <v>69.495000000000005</v>
      </c>
      <c r="M20" s="33">
        <f>C20*0.6447</f>
        <v>96.705000000000013</v>
      </c>
      <c r="N20" s="33">
        <f>C20*0.2299</f>
        <v>34.484999999999999</v>
      </c>
      <c r="O20" s="33">
        <f>C20*0.0093</f>
        <v>1.3949999999999998</v>
      </c>
    </row>
    <row r="21" spans="1:15" ht="26.25" x14ac:dyDescent="0.25">
      <c r="A21" s="11" t="s">
        <v>111</v>
      </c>
      <c r="B21" s="50" t="s">
        <v>112</v>
      </c>
      <c r="C21" s="11">
        <v>200</v>
      </c>
      <c r="D21" s="11">
        <v>0.64</v>
      </c>
      <c r="E21" s="11">
        <v>0</v>
      </c>
      <c r="F21" s="11">
        <v>26.33</v>
      </c>
      <c r="G21" s="74">
        <v>106</v>
      </c>
      <c r="H21" s="33">
        <v>0</v>
      </c>
      <c r="I21" s="34">
        <v>0.84</v>
      </c>
      <c r="J21" s="33">
        <v>0</v>
      </c>
      <c r="K21" s="33">
        <v>0.02</v>
      </c>
      <c r="L21" s="33">
        <v>22.6</v>
      </c>
      <c r="M21" s="33">
        <v>23.24</v>
      </c>
      <c r="N21" s="33">
        <v>28.56</v>
      </c>
      <c r="O21" s="33">
        <v>0.87</v>
      </c>
    </row>
    <row r="22" spans="1:15" x14ac:dyDescent="0.25">
      <c r="A22" s="11"/>
      <c r="B22" s="20" t="s">
        <v>26</v>
      </c>
      <c r="C22" s="9">
        <v>35</v>
      </c>
      <c r="D22" s="9">
        <v>2.31</v>
      </c>
      <c r="E22" s="9">
        <v>0.39</v>
      </c>
      <c r="F22" s="9">
        <v>14.35</v>
      </c>
      <c r="G22" s="18">
        <v>72.099999999999994</v>
      </c>
      <c r="H22" s="33"/>
      <c r="I22" s="34"/>
      <c r="J22" s="33"/>
      <c r="K22" s="33"/>
      <c r="L22" s="33"/>
      <c r="M22" s="33"/>
      <c r="N22" s="33"/>
      <c r="O22" s="33"/>
    </row>
    <row r="23" spans="1:15" x14ac:dyDescent="0.25">
      <c r="A23" s="11"/>
      <c r="B23" s="20" t="s">
        <v>31</v>
      </c>
      <c r="C23" s="9">
        <v>30</v>
      </c>
      <c r="D23" s="9">
        <v>2</v>
      </c>
      <c r="E23" s="9">
        <v>0.7</v>
      </c>
      <c r="F23" s="9">
        <v>13.7</v>
      </c>
      <c r="G23" s="18">
        <v>70.5</v>
      </c>
      <c r="H23" s="33"/>
      <c r="I23" s="34"/>
      <c r="J23" s="33"/>
      <c r="K23" s="33"/>
      <c r="L23" s="33"/>
      <c r="M23" s="33"/>
      <c r="N23" s="33"/>
      <c r="O23" s="33"/>
    </row>
    <row r="24" spans="1:15" x14ac:dyDescent="0.25">
      <c r="A24" s="11">
        <v>389</v>
      </c>
      <c r="B24" s="20" t="s">
        <v>105</v>
      </c>
      <c r="C24" s="9">
        <v>200</v>
      </c>
      <c r="D24" s="9">
        <v>1</v>
      </c>
      <c r="E24" s="9">
        <v>0</v>
      </c>
      <c r="F24" s="9">
        <v>25.4</v>
      </c>
      <c r="G24" s="18">
        <v>105.6</v>
      </c>
      <c r="H24" s="33">
        <v>0.04</v>
      </c>
      <c r="I24" s="34">
        <v>8</v>
      </c>
      <c r="J24" s="33">
        <v>0</v>
      </c>
      <c r="K24" s="33">
        <v>0.08</v>
      </c>
      <c r="L24" s="33">
        <v>40</v>
      </c>
      <c r="M24" s="33">
        <v>36</v>
      </c>
      <c r="N24" s="33">
        <v>20</v>
      </c>
      <c r="O24" s="33">
        <v>0.4</v>
      </c>
    </row>
    <row r="25" spans="1:15" x14ac:dyDescent="0.25">
      <c r="A25" s="11"/>
      <c r="B25" s="22" t="s">
        <v>34</v>
      </c>
      <c r="C25" s="9">
        <f>SUM(C17:C24)</f>
        <v>970</v>
      </c>
      <c r="D25" s="23">
        <f t="shared" ref="D25:O25" si="1">SUM(D17:D24)</f>
        <v>21.763672400000001</v>
      </c>
      <c r="E25" s="23">
        <f t="shared" si="1"/>
        <v>34.4174905</v>
      </c>
      <c r="F25" s="23">
        <f t="shared" si="1"/>
        <v>127.21345047999998</v>
      </c>
      <c r="G25" s="24">
        <f t="shared" si="1"/>
        <v>913.09996000000001</v>
      </c>
      <c r="H25" s="42">
        <f t="shared" si="1"/>
        <v>0.32059979999999993</v>
      </c>
      <c r="I25" s="56">
        <f t="shared" si="1"/>
        <v>56.514199599999998</v>
      </c>
      <c r="J25" s="42">
        <f t="shared" si="1"/>
        <v>37.044599999999996</v>
      </c>
      <c r="K25" s="42">
        <f t="shared" si="1"/>
        <v>1.4591998000000002</v>
      </c>
      <c r="L25" s="42">
        <f t="shared" si="1"/>
        <v>216.1934</v>
      </c>
      <c r="M25" s="42">
        <f t="shared" si="1"/>
        <v>363.42700000000002</v>
      </c>
      <c r="N25" s="42">
        <f t="shared" si="1"/>
        <v>146.82400000000001</v>
      </c>
      <c r="O25" s="42">
        <f t="shared" si="1"/>
        <v>5.0010000000000003</v>
      </c>
    </row>
    <row r="26" spans="1:15" x14ac:dyDescent="0.25">
      <c r="A26" s="11"/>
      <c r="B26" s="67" t="s">
        <v>33</v>
      </c>
      <c r="C26" s="11">
        <f>C15+C25</f>
        <v>1665</v>
      </c>
      <c r="D26" s="31">
        <f t="shared" ref="D26:O26" si="2">D15+D25</f>
        <v>40.553672399999996</v>
      </c>
      <c r="E26" s="31">
        <f t="shared" si="2"/>
        <v>53.322490500000001</v>
      </c>
      <c r="F26" s="31">
        <f t="shared" si="2"/>
        <v>210.29845047999999</v>
      </c>
      <c r="G26" s="55">
        <f t="shared" si="2"/>
        <v>1496.59996</v>
      </c>
      <c r="H26" s="42">
        <f t="shared" si="2"/>
        <v>0.49659979999999992</v>
      </c>
      <c r="I26" s="56">
        <f t="shared" si="2"/>
        <v>74.184199599999999</v>
      </c>
      <c r="J26" s="42">
        <f t="shared" si="2"/>
        <v>71.024599999999992</v>
      </c>
      <c r="K26" s="42">
        <f t="shared" si="2"/>
        <v>1.7881998000000001</v>
      </c>
      <c r="L26" s="42">
        <f t="shared" si="2"/>
        <v>465.27340000000004</v>
      </c>
      <c r="M26" s="42">
        <f t="shared" si="2"/>
        <v>684.67200000000003</v>
      </c>
      <c r="N26" s="42">
        <f t="shared" si="2"/>
        <v>226.81900000000002</v>
      </c>
      <c r="O26" s="42">
        <f t="shared" si="2"/>
        <v>7.266</v>
      </c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scale="98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4" zoomScaleNormal="100" workbookViewId="0">
      <selection activeCell="C28" sqref="C28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8.75" x14ac:dyDescent="0.3">
      <c r="A1" s="5"/>
      <c r="B1" s="5"/>
      <c r="C1" s="5"/>
      <c r="D1" s="5"/>
      <c r="E1" s="5"/>
      <c r="F1" s="7" t="s">
        <v>0</v>
      </c>
      <c r="G1" s="47"/>
      <c r="H1" s="8"/>
      <c r="I1" s="5"/>
      <c r="J1" s="5"/>
      <c r="K1" s="5"/>
      <c r="L1" s="5"/>
      <c r="M1" s="5"/>
      <c r="N1" s="5"/>
      <c r="O1" s="5"/>
    </row>
    <row r="2" spans="1:1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75" x14ac:dyDescent="0.25">
      <c r="A4" s="5" t="s">
        <v>3</v>
      </c>
      <c r="B4" s="6" t="s">
        <v>99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58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45" customHeight="1" x14ac:dyDescent="0.25">
      <c r="A6" s="106" t="s">
        <v>5</v>
      </c>
      <c r="B6" s="107" t="s">
        <v>6</v>
      </c>
      <c r="C6" s="106" t="s">
        <v>7</v>
      </c>
      <c r="D6" s="103" t="s">
        <v>8</v>
      </c>
      <c r="E6" s="104"/>
      <c r="F6" s="105"/>
      <c r="G6" s="109" t="s">
        <v>12</v>
      </c>
      <c r="H6" s="103" t="s">
        <v>13</v>
      </c>
      <c r="I6" s="104"/>
      <c r="J6" s="104"/>
      <c r="K6" s="105"/>
      <c r="L6" s="103" t="s">
        <v>18</v>
      </c>
      <c r="M6" s="104"/>
      <c r="N6" s="104"/>
      <c r="O6" s="105"/>
    </row>
    <row r="7" spans="1:15" x14ac:dyDescent="0.25">
      <c r="A7" s="106"/>
      <c r="B7" s="108"/>
      <c r="C7" s="106"/>
      <c r="D7" s="9" t="s">
        <v>9</v>
      </c>
      <c r="E7" s="9" t="s">
        <v>10</v>
      </c>
      <c r="F7" s="9" t="s">
        <v>11</v>
      </c>
      <c r="G7" s="110"/>
      <c r="H7" s="9" t="s">
        <v>14</v>
      </c>
      <c r="I7" s="72" t="s">
        <v>15</v>
      </c>
      <c r="J7" s="11" t="s">
        <v>16</v>
      </c>
      <c r="K7" s="12" t="s">
        <v>17</v>
      </c>
      <c r="L7" s="9" t="s">
        <v>19</v>
      </c>
      <c r="M7" s="9" t="s">
        <v>20</v>
      </c>
      <c r="N7" s="9" t="s">
        <v>21</v>
      </c>
      <c r="O7" s="9" t="s">
        <v>22</v>
      </c>
    </row>
    <row r="8" spans="1:15" ht="15.75" x14ac:dyDescent="0.25">
      <c r="A8" s="9"/>
      <c r="B8" s="48" t="s">
        <v>28</v>
      </c>
      <c r="C8" s="9"/>
      <c r="D8" s="17"/>
      <c r="E8" s="17"/>
      <c r="F8" s="17"/>
      <c r="G8" s="18"/>
      <c r="H8" s="17"/>
      <c r="I8" s="19"/>
      <c r="J8" s="17"/>
      <c r="K8" s="17"/>
      <c r="L8" s="17"/>
      <c r="M8" s="17"/>
      <c r="N8" s="17"/>
      <c r="O8" s="17"/>
    </row>
    <row r="9" spans="1:15" x14ac:dyDescent="0.25">
      <c r="A9" s="11">
        <v>71</v>
      </c>
      <c r="B9" s="41" t="s">
        <v>113</v>
      </c>
      <c r="C9" s="33">
        <v>100</v>
      </c>
      <c r="D9" s="33">
        <f>C9*0.011</f>
        <v>1.0999999999999999</v>
      </c>
      <c r="E9" s="33">
        <f>C9*0.002</f>
        <v>0.2</v>
      </c>
      <c r="F9" s="33">
        <f>C9*0.038</f>
        <v>3.8</v>
      </c>
      <c r="G9" s="34">
        <f>C9*0.24</f>
        <v>24</v>
      </c>
      <c r="H9" s="33">
        <f>C9*0.0006</f>
        <v>0.06</v>
      </c>
      <c r="I9" s="34">
        <f>C9*0.25</f>
        <v>25</v>
      </c>
      <c r="J9" s="33">
        <v>0</v>
      </c>
      <c r="K9" s="33">
        <f>C9*0.0004</f>
        <v>0.04</v>
      </c>
      <c r="L9" s="33">
        <f>C9*0.14</f>
        <v>14.000000000000002</v>
      </c>
      <c r="M9" s="33">
        <f>C9*0.26</f>
        <v>26</v>
      </c>
      <c r="N9" s="33">
        <f>C9*0.2</f>
        <v>20</v>
      </c>
      <c r="O9" s="33">
        <f>C9*0.009</f>
        <v>0.89999999999999991</v>
      </c>
    </row>
    <row r="10" spans="1:15" ht="38.25" x14ac:dyDescent="0.25">
      <c r="A10" s="39">
        <v>278</v>
      </c>
      <c r="B10" s="64" t="s">
        <v>84</v>
      </c>
      <c r="C10" s="39">
        <v>220</v>
      </c>
      <c r="D10" s="33">
        <v>7.83</v>
      </c>
      <c r="E10" s="33">
        <v>8.75</v>
      </c>
      <c r="F10" s="33">
        <v>10.25</v>
      </c>
      <c r="G10" s="34">
        <v>151</v>
      </c>
      <c r="H10" s="33">
        <v>0.05</v>
      </c>
      <c r="I10" s="34">
        <v>0.72</v>
      </c>
      <c r="J10" s="33">
        <v>33.92</v>
      </c>
      <c r="K10" s="33">
        <v>7.0000000000000007E-2</v>
      </c>
      <c r="L10" s="33">
        <v>27.95</v>
      </c>
      <c r="M10" s="33">
        <v>88.37</v>
      </c>
      <c r="N10" s="33">
        <v>18.329999999999998</v>
      </c>
      <c r="O10" s="33">
        <v>0.87</v>
      </c>
    </row>
    <row r="11" spans="1:15" ht="30" x14ac:dyDescent="0.25">
      <c r="A11" s="39">
        <v>304</v>
      </c>
      <c r="B11" s="69" t="s">
        <v>38</v>
      </c>
      <c r="C11" s="39">
        <v>180</v>
      </c>
      <c r="D11" s="33">
        <f>C11*0.0254</f>
        <v>4.5720000000000001</v>
      </c>
      <c r="E11" s="33">
        <f>C11*0.0407</f>
        <v>7.3259999999999996</v>
      </c>
      <c r="F11" s="33">
        <f>C11*0.2575</f>
        <v>46.35</v>
      </c>
      <c r="G11" s="34">
        <f>C11*1.52</f>
        <v>273.60000000000002</v>
      </c>
      <c r="H11" s="33">
        <f>C11*0.0002</f>
        <v>3.6000000000000004E-2</v>
      </c>
      <c r="I11" s="34">
        <v>0</v>
      </c>
      <c r="J11" s="33">
        <f>C11*0.0002</f>
        <v>3.6000000000000004E-2</v>
      </c>
      <c r="K11" s="33">
        <f>C11*0.0001</f>
        <v>1.8000000000000002E-2</v>
      </c>
      <c r="L11" s="33">
        <f>C11*0.2182</f>
        <v>39.276000000000003</v>
      </c>
      <c r="M11" s="33">
        <f>C11*0.5485</f>
        <v>98.73</v>
      </c>
      <c r="N11" s="33">
        <f>C11*0.1911</f>
        <v>34.397999999999996</v>
      </c>
      <c r="O11" s="33">
        <f>C11*0.0051</f>
        <v>0.91800000000000004</v>
      </c>
    </row>
    <row r="12" spans="1:15" ht="28.5" x14ac:dyDescent="0.25">
      <c r="A12" s="11">
        <v>383</v>
      </c>
      <c r="B12" s="21" t="s">
        <v>67</v>
      </c>
      <c r="C12" s="11">
        <v>200</v>
      </c>
      <c r="D12" s="11">
        <v>4.18</v>
      </c>
      <c r="E12" s="11">
        <v>3.54</v>
      </c>
      <c r="F12" s="11">
        <v>17.579999999999998</v>
      </c>
      <c r="G12" s="88">
        <v>118</v>
      </c>
      <c r="H12" s="33">
        <v>0.06</v>
      </c>
      <c r="I12" s="34">
        <v>1.95</v>
      </c>
      <c r="J12" s="33">
        <v>0.03</v>
      </c>
      <c r="K12" s="33">
        <v>0.22</v>
      </c>
      <c r="L12" s="33">
        <v>180</v>
      </c>
      <c r="M12" s="33">
        <v>135</v>
      </c>
      <c r="N12" s="33">
        <v>21</v>
      </c>
      <c r="O12" s="33">
        <v>0.09</v>
      </c>
    </row>
    <row r="13" spans="1:15" x14ac:dyDescent="0.25">
      <c r="A13" s="11"/>
      <c r="B13" s="66" t="s">
        <v>26</v>
      </c>
      <c r="C13" s="11">
        <v>35</v>
      </c>
      <c r="D13" s="11">
        <v>2.31</v>
      </c>
      <c r="E13" s="11">
        <v>0.39</v>
      </c>
      <c r="F13" s="11">
        <v>14.35</v>
      </c>
      <c r="G13" s="74">
        <v>72.099999999999994</v>
      </c>
      <c r="H13" s="33"/>
      <c r="I13" s="34"/>
      <c r="J13" s="33"/>
      <c r="K13" s="33"/>
      <c r="L13" s="33"/>
      <c r="M13" s="33"/>
      <c r="N13" s="33"/>
      <c r="O13" s="33"/>
    </row>
    <row r="14" spans="1:15" x14ac:dyDescent="0.25">
      <c r="A14" s="11"/>
      <c r="B14" s="20" t="s">
        <v>31</v>
      </c>
      <c r="C14" s="9">
        <v>30</v>
      </c>
      <c r="D14" s="9">
        <v>2</v>
      </c>
      <c r="E14" s="9">
        <v>0.7</v>
      </c>
      <c r="F14" s="9">
        <v>13.7</v>
      </c>
      <c r="G14" s="18">
        <v>70.5</v>
      </c>
      <c r="H14" s="33"/>
      <c r="I14" s="34"/>
      <c r="J14" s="33"/>
      <c r="K14" s="33"/>
      <c r="L14" s="33"/>
      <c r="M14" s="33"/>
      <c r="N14" s="33"/>
      <c r="O14" s="33"/>
    </row>
    <row r="15" spans="1:15" x14ac:dyDescent="0.25">
      <c r="A15" s="11"/>
      <c r="B15" s="70" t="s">
        <v>78</v>
      </c>
      <c r="C15" s="11">
        <v>200</v>
      </c>
      <c r="D15" s="11">
        <v>1.54</v>
      </c>
      <c r="E15" s="11">
        <v>1.63</v>
      </c>
      <c r="F15" s="11">
        <v>9.36</v>
      </c>
      <c r="G15" s="89">
        <v>56</v>
      </c>
      <c r="H15" s="33">
        <v>0.02</v>
      </c>
      <c r="I15" s="34">
        <v>0.72</v>
      </c>
      <c r="J15" s="33">
        <v>0.01</v>
      </c>
      <c r="K15" s="33">
        <v>0</v>
      </c>
      <c r="L15" s="33">
        <v>63.6</v>
      </c>
      <c r="M15" s="33">
        <v>50.76</v>
      </c>
      <c r="N15" s="33">
        <v>10.08</v>
      </c>
      <c r="O15" s="33">
        <v>0.62</v>
      </c>
    </row>
    <row r="16" spans="1:15" x14ac:dyDescent="0.25">
      <c r="A16" s="11"/>
      <c r="B16" s="67" t="s">
        <v>34</v>
      </c>
      <c r="C16" s="11">
        <f>SUM(C9:C15)</f>
        <v>965</v>
      </c>
      <c r="D16" s="31">
        <f t="shared" ref="D16:O16" si="0">SUM(D9:D13)</f>
        <v>19.991999999999997</v>
      </c>
      <c r="E16" s="31">
        <f t="shared" si="0"/>
        <v>20.206</v>
      </c>
      <c r="F16" s="31">
        <f t="shared" si="0"/>
        <v>92.33</v>
      </c>
      <c r="G16" s="55">
        <f t="shared" si="0"/>
        <v>638.70000000000005</v>
      </c>
      <c r="H16" s="42">
        <f t="shared" si="0"/>
        <v>0.20600000000000002</v>
      </c>
      <c r="I16" s="56">
        <f t="shared" si="0"/>
        <v>27.669999999999998</v>
      </c>
      <c r="J16" s="42">
        <f t="shared" si="0"/>
        <v>33.986000000000004</v>
      </c>
      <c r="K16" s="42">
        <f t="shared" si="0"/>
        <v>0.34799999999999998</v>
      </c>
      <c r="L16" s="42">
        <f t="shared" si="0"/>
        <v>261.226</v>
      </c>
      <c r="M16" s="42">
        <f t="shared" si="0"/>
        <v>348.1</v>
      </c>
      <c r="N16" s="42">
        <f t="shared" si="0"/>
        <v>93.727999999999994</v>
      </c>
      <c r="O16" s="42">
        <f t="shared" si="0"/>
        <v>2.778</v>
      </c>
    </row>
    <row r="17" spans="1:15" x14ac:dyDescent="0.25">
      <c r="A17" s="11"/>
      <c r="B17" s="31" t="s">
        <v>29</v>
      </c>
      <c r="C17" s="11"/>
      <c r="D17" s="11"/>
      <c r="E17" s="11"/>
      <c r="F17" s="11"/>
      <c r="G17" s="74"/>
      <c r="H17" s="33"/>
      <c r="I17" s="34"/>
      <c r="J17" s="33"/>
      <c r="K17" s="33"/>
      <c r="L17" s="33"/>
      <c r="M17" s="33"/>
      <c r="N17" s="33"/>
      <c r="O17" s="33"/>
    </row>
    <row r="18" spans="1:15" ht="42" customHeight="1" x14ac:dyDescent="0.25">
      <c r="A18" s="11">
        <v>43</v>
      </c>
      <c r="B18" s="64" t="s">
        <v>97</v>
      </c>
      <c r="C18" s="11">
        <v>100</v>
      </c>
      <c r="D18" s="11">
        <f>C18*0.0145</f>
        <v>1.4500000000000002</v>
      </c>
      <c r="E18" s="11">
        <f>C18*0.184</f>
        <v>18.399999999999999</v>
      </c>
      <c r="F18" s="11">
        <f>C18*0.0651666</f>
        <v>6.5166600000000008</v>
      </c>
      <c r="G18" s="74">
        <f>C18*1.966666</f>
        <v>196.66660000000002</v>
      </c>
      <c r="H18" s="33">
        <f>C18*0.00033333</f>
        <v>3.3333000000000002E-2</v>
      </c>
      <c r="I18" s="34">
        <f>C18*0.06716666</f>
        <v>6.716666</v>
      </c>
      <c r="J18" s="33">
        <v>0</v>
      </c>
      <c r="K18" s="33">
        <f>C18*0.00033333</f>
        <v>3.3333000000000002E-2</v>
      </c>
      <c r="L18" s="33">
        <f>C18*0.3645</f>
        <v>36.449999999999996</v>
      </c>
      <c r="M18" s="33">
        <f>C18*0.4325</f>
        <v>43.25</v>
      </c>
      <c r="N18" s="33">
        <f>C18*0.238</f>
        <v>23.799999999999997</v>
      </c>
      <c r="O18" s="33">
        <f>C18*0.0085</f>
        <v>0.85000000000000009</v>
      </c>
    </row>
    <row r="19" spans="1:15" ht="51" x14ac:dyDescent="0.25">
      <c r="A19" s="11">
        <v>99</v>
      </c>
      <c r="B19" s="63" t="s">
        <v>85</v>
      </c>
      <c r="C19" s="11">
        <v>255</v>
      </c>
      <c r="D19" s="11">
        <f>C19*0.00808</f>
        <v>2.0604</v>
      </c>
      <c r="E19" s="11">
        <f>C19*0.02148</f>
        <v>5.4773999999999994</v>
      </c>
      <c r="F19" s="11">
        <f>C19*0.0456</f>
        <v>11.628</v>
      </c>
      <c r="G19" s="74">
        <f>C19*0.416</f>
        <v>106.08</v>
      </c>
      <c r="H19" s="33">
        <f>C19*0.00032</f>
        <v>8.1600000000000006E-2</v>
      </c>
      <c r="I19" s="34">
        <f>C19*0.08504</f>
        <v>21.685200000000002</v>
      </c>
      <c r="J19" s="33">
        <f>C19*0.00012</f>
        <v>3.0600000000000002E-2</v>
      </c>
      <c r="K19" s="33">
        <f>C19*0.00024</f>
        <v>6.1200000000000004E-2</v>
      </c>
      <c r="L19" s="33">
        <f>C19*0.12048</f>
        <v>30.7224</v>
      </c>
      <c r="M19" s="33">
        <f>C19*0.2204</f>
        <v>56.202000000000005</v>
      </c>
      <c r="N19" s="33">
        <f>C19*0.0878</f>
        <v>22.388999999999999</v>
      </c>
      <c r="O19" s="33">
        <f>C19*0.0032</f>
        <v>0.81600000000000006</v>
      </c>
    </row>
    <row r="20" spans="1:15" ht="40.5" customHeight="1" x14ac:dyDescent="0.25">
      <c r="A20" s="11">
        <v>237</v>
      </c>
      <c r="B20" s="63" t="s">
        <v>86</v>
      </c>
      <c r="C20" s="11">
        <v>105</v>
      </c>
      <c r="D20" s="11">
        <f>C20*0.11163636</f>
        <v>11.7218178</v>
      </c>
      <c r="E20" s="11">
        <f>C20*0.13654545</f>
        <v>14.337272250000002</v>
      </c>
      <c r="F20" s="11">
        <f>C20*0.134727272</f>
        <v>14.146363560000001</v>
      </c>
      <c r="G20" s="74">
        <f>C20*2.218</f>
        <v>232.89</v>
      </c>
      <c r="H20" s="33">
        <f>C20*0.0005</f>
        <v>5.2499999999999998E-2</v>
      </c>
      <c r="I20" s="34">
        <f>C20*0.0029</f>
        <v>0.30449999999999999</v>
      </c>
      <c r="J20" s="33">
        <f>C20*0.411</f>
        <v>43.154999999999994</v>
      </c>
      <c r="K20" s="33">
        <f>C20*0.013</f>
        <v>1.365</v>
      </c>
      <c r="L20" s="33">
        <f>C20*0.417</f>
        <v>43.784999999999997</v>
      </c>
      <c r="M20" s="33">
        <f>C20*1.515</f>
        <v>159.07499999999999</v>
      </c>
      <c r="N20" s="33">
        <f>C20*0.35</f>
        <v>36.75</v>
      </c>
      <c r="O20" s="33">
        <f>C20*0.013</f>
        <v>1.365</v>
      </c>
    </row>
    <row r="21" spans="1:15" ht="30" x14ac:dyDescent="0.25">
      <c r="A21" s="11">
        <v>312</v>
      </c>
      <c r="B21" s="70" t="s">
        <v>30</v>
      </c>
      <c r="C21" s="11">
        <v>180</v>
      </c>
      <c r="D21" s="11">
        <f>C21*0.0216</f>
        <v>3.8880000000000003</v>
      </c>
      <c r="E21" s="11">
        <f>C21*0.0373</f>
        <v>6.7140000000000004</v>
      </c>
      <c r="F21" s="11">
        <f>C21*0.147</f>
        <v>26.459999999999997</v>
      </c>
      <c r="G21" s="74">
        <f>C21*1.04</f>
        <v>187.20000000000002</v>
      </c>
      <c r="H21" s="33">
        <f>C21*0.001</f>
        <v>0.18</v>
      </c>
      <c r="I21" s="34">
        <f>C21*0.173</f>
        <v>31.139999999999997</v>
      </c>
      <c r="J21" s="33">
        <f>C21*0.0002</f>
        <v>3.6000000000000004E-2</v>
      </c>
      <c r="K21" s="33">
        <f>C21*0.0008</f>
        <v>0.14400000000000002</v>
      </c>
      <c r="L21" s="33">
        <f>C21*0.4633</f>
        <v>83.393999999999991</v>
      </c>
      <c r="M21" s="33">
        <f>C21*0.6447</f>
        <v>116.04600000000001</v>
      </c>
      <c r="N21" s="33">
        <f>C21*0.2299</f>
        <v>41.381999999999998</v>
      </c>
      <c r="O21" s="33">
        <f>C21*0.0093</f>
        <v>1.6739999999999999</v>
      </c>
    </row>
    <row r="22" spans="1:15" ht="26.25" x14ac:dyDescent="0.25">
      <c r="A22" s="11" t="s">
        <v>111</v>
      </c>
      <c r="B22" s="50" t="s">
        <v>112</v>
      </c>
      <c r="C22" s="11">
        <v>200</v>
      </c>
      <c r="D22" s="11">
        <v>0.64</v>
      </c>
      <c r="E22" s="11">
        <v>0</v>
      </c>
      <c r="F22" s="11">
        <v>26.33</v>
      </c>
      <c r="G22" s="74">
        <v>106</v>
      </c>
      <c r="H22" s="33">
        <v>0</v>
      </c>
      <c r="I22" s="34">
        <v>0.84</v>
      </c>
      <c r="J22" s="33">
        <v>0</v>
      </c>
      <c r="K22" s="33">
        <v>0.02</v>
      </c>
      <c r="L22" s="33">
        <v>22.6</v>
      </c>
      <c r="M22" s="33">
        <v>23.24</v>
      </c>
      <c r="N22" s="33">
        <v>28.56</v>
      </c>
      <c r="O22" s="33">
        <v>0.87</v>
      </c>
    </row>
    <row r="23" spans="1:15" x14ac:dyDescent="0.25">
      <c r="A23" s="11"/>
      <c r="B23" s="20" t="s">
        <v>26</v>
      </c>
      <c r="C23" s="9">
        <v>35</v>
      </c>
      <c r="D23" s="9">
        <v>2.31</v>
      </c>
      <c r="E23" s="9">
        <v>0.39</v>
      </c>
      <c r="F23" s="9">
        <v>14.35</v>
      </c>
      <c r="G23" s="18">
        <v>72.099999999999994</v>
      </c>
      <c r="H23" s="33"/>
      <c r="I23" s="34"/>
      <c r="J23" s="33"/>
      <c r="K23" s="33"/>
      <c r="L23" s="33"/>
      <c r="M23" s="33"/>
      <c r="N23" s="33"/>
      <c r="O23" s="33"/>
    </row>
    <row r="24" spans="1:15" x14ac:dyDescent="0.25">
      <c r="A24" s="11"/>
      <c r="B24" s="20" t="s">
        <v>31</v>
      </c>
      <c r="C24" s="9">
        <v>30</v>
      </c>
      <c r="D24" s="9">
        <v>2</v>
      </c>
      <c r="E24" s="9">
        <v>0.7</v>
      </c>
      <c r="F24" s="9">
        <v>13.7</v>
      </c>
      <c r="G24" s="18">
        <v>70.5</v>
      </c>
      <c r="H24" s="33"/>
      <c r="I24" s="34"/>
      <c r="J24" s="33"/>
      <c r="K24" s="33"/>
      <c r="L24" s="33"/>
      <c r="M24" s="33"/>
      <c r="N24" s="33"/>
      <c r="O24" s="33"/>
    </row>
    <row r="25" spans="1:15" x14ac:dyDescent="0.25">
      <c r="A25" s="11">
        <v>389</v>
      </c>
      <c r="B25" s="20" t="s">
        <v>105</v>
      </c>
      <c r="C25" s="9">
        <v>200</v>
      </c>
      <c r="D25" s="9">
        <v>1</v>
      </c>
      <c r="E25" s="9">
        <v>0</v>
      </c>
      <c r="F25" s="9">
        <v>25.4</v>
      </c>
      <c r="G25" s="18">
        <v>105.6</v>
      </c>
      <c r="H25" s="33">
        <v>0.04</v>
      </c>
      <c r="I25" s="34">
        <v>8</v>
      </c>
      <c r="J25" s="33">
        <v>0</v>
      </c>
      <c r="K25" s="33">
        <v>0.08</v>
      </c>
      <c r="L25" s="33">
        <v>40</v>
      </c>
      <c r="M25" s="33">
        <v>36</v>
      </c>
      <c r="N25" s="33">
        <v>20</v>
      </c>
      <c r="O25" s="33">
        <v>0.4</v>
      </c>
    </row>
    <row r="26" spans="1:15" x14ac:dyDescent="0.25">
      <c r="A26" s="11"/>
      <c r="B26" s="22" t="s">
        <v>34</v>
      </c>
      <c r="C26" s="9">
        <f>SUM(C18:C25)</f>
        <v>1105</v>
      </c>
      <c r="D26" s="23">
        <f t="shared" ref="D26:O26" si="1">SUM(D18:D25)</f>
        <v>25.070217800000002</v>
      </c>
      <c r="E26" s="23">
        <f t="shared" si="1"/>
        <v>46.018672250000002</v>
      </c>
      <c r="F26" s="23">
        <f t="shared" si="1"/>
        <v>138.53102355999999</v>
      </c>
      <c r="G26" s="24">
        <f t="shared" si="1"/>
        <v>1077.0366000000001</v>
      </c>
      <c r="H26" s="42">
        <f t="shared" si="1"/>
        <v>0.38743299999999997</v>
      </c>
      <c r="I26" s="56">
        <f t="shared" si="1"/>
        <v>68.686366000000007</v>
      </c>
      <c r="J26" s="42">
        <f t="shared" si="1"/>
        <v>43.221599999999995</v>
      </c>
      <c r="K26" s="42">
        <f t="shared" si="1"/>
        <v>1.7035330000000002</v>
      </c>
      <c r="L26" s="42">
        <f t="shared" si="1"/>
        <v>256.95139999999998</v>
      </c>
      <c r="M26" s="42">
        <f t="shared" si="1"/>
        <v>433.81299999999999</v>
      </c>
      <c r="N26" s="42">
        <f t="shared" si="1"/>
        <v>172.881</v>
      </c>
      <c r="O26" s="42">
        <f t="shared" si="1"/>
        <v>5.9750000000000005</v>
      </c>
    </row>
    <row r="27" spans="1:15" x14ac:dyDescent="0.25">
      <c r="A27" s="11"/>
      <c r="B27" s="67" t="s">
        <v>33</v>
      </c>
      <c r="C27" s="11">
        <f>C16+C26</f>
        <v>2070</v>
      </c>
      <c r="D27" s="31">
        <f t="shared" ref="D27:O27" si="2">D16+D26</f>
        <v>45.062217799999999</v>
      </c>
      <c r="E27" s="31">
        <f t="shared" si="2"/>
        <v>66.224672249999998</v>
      </c>
      <c r="F27" s="31">
        <f t="shared" si="2"/>
        <v>230.86102355999998</v>
      </c>
      <c r="G27" s="55">
        <f t="shared" si="2"/>
        <v>1715.7366000000002</v>
      </c>
      <c r="H27" s="42">
        <f t="shared" si="2"/>
        <v>0.59343299999999999</v>
      </c>
      <c r="I27" s="56">
        <f t="shared" si="2"/>
        <v>96.356366000000008</v>
      </c>
      <c r="J27" s="42">
        <f t="shared" si="2"/>
        <v>77.207599999999999</v>
      </c>
      <c r="K27" s="42">
        <f t="shared" si="2"/>
        <v>2.0515330000000001</v>
      </c>
      <c r="L27" s="42">
        <f t="shared" si="2"/>
        <v>518.17740000000003</v>
      </c>
      <c r="M27" s="42">
        <f t="shared" si="2"/>
        <v>781.91300000000001</v>
      </c>
      <c r="N27" s="42">
        <f t="shared" si="2"/>
        <v>266.60899999999998</v>
      </c>
      <c r="O27" s="42">
        <f t="shared" si="2"/>
        <v>8.7530000000000001</v>
      </c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scale="95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10" zoomScaleNormal="100" workbookViewId="0">
      <selection activeCell="B13" sqref="B13:G13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8.75" x14ac:dyDescent="0.25">
      <c r="A1" s="60"/>
      <c r="B1" s="60"/>
      <c r="C1" s="60"/>
      <c r="D1" s="60"/>
      <c r="E1" s="60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</row>
    <row r="2" spans="1:15" x14ac:dyDescent="0.25">
      <c r="A2" s="60" t="s">
        <v>54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x14ac:dyDescent="0.25">
      <c r="A3" s="60" t="s">
        <v>53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15.75" x14ac:dyDescent="0.25">
      <c r="A4" s="60" t="s">
        <v>55</v>
      </c>
      <c r="B4" s="6" t="s">
        <v>99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x14ac:dyDescent="0.25">
      <c r="A5" s="60" t="s">
        <v>56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1:15" ht="45" customHeight="1" x14ac:dyDescent="0.25">
      <c r="A6" s="114" t="s">
        <v>5</v>
      </c>
      <c r="B6" s="115" t="s">
        <v>6</v>
      </c>
      <c r="C6" s="114" t="s">
        <v>7</v>
      </c>
      <c r="D6" s="111" t="s">
        <v>8</v>
      </c>
      <c r="E6" s="112"/>
      <c r="F6" s="113"/>
      <c r="G6" s="117" t="s">
        <v>12</v>
      </c>
      <c r="H6" s="111" t="s">
        <v>13</v>
      </c>
      <c r="I6" s="112"/>
      <c r="J6" s="112"/>
      <c r="K6" s="113"/>
      <c r="L6" s="111" t="s">
        <v>18</v>
      </c>
      <c r="M6" s="112"/>
      <c r="N6" s="112"/>
      <c r="O6" s="113"/>
    </row>
    <row r="7" spans="1:15" x14ac:dyDescent="0.25">
      <c r="A7" s="114"/>
      <c r="B7" s="116"/>
      <c r="C7" s="114"/>
      <c r="D7" s="11" t="s">
        <v>9</v>
      </c>
      <c r="E7" s="11" t="s">
        <v>10</v>
      </c>
      <c r="F7" s="11" t="s">
        <v>11</v>
      </c>
      <c r="G7" s="118"/>
      <c r="H7" s="11" t="s">
        <v>14</v>
      </c>
      <c r="I7" s="74" t="s">
        <v>15</v>
      </c>
      <c r="J7" s="11" t="s">
        <v>16</v>
      </c>
      <c r="K7" s="11" t="s">
        <v>17</v>
      </c>
      <c r="L7" s="11" t="s">
        <v>19</v>
      </c>
      <c r="M7" s="11" t="s">
        <v>20</v>
      </c>
      <c r="N7" s="11" t="s">
        <v>21</v>
      </c>
      <c r="O7" s="11" t="s">
        <v>22</v>
      </c>
    </row>
    <row r="8" spans="1:15" ht="15.75" x14ac:dyDescent="0.25">
      <c r="A8" s="11"/>
      <c r="B8" s="80" t="s">
        <v>28</v>
      </c>
      <c r="C8" s="11"/>
      <c r="D8" s="33"/>
      <c r="E8" s="33"/>
      <c r="F8" s="33"/>
      <c r="G8" s="74"/>
      <c r="H8" s="33"/>
      <c r="I8" s="34"/>
      <c r="J8" s="33"/>
      <c r="K8" s="33"/>
      <c r="L8" s="33"/>
      <c r="M8" s="33"/>
      <c r="N8" s="33"/>
      <c r="O8" s="33"/>
    </row>
    <row r="9" spans="1:15" x14ac:dyDescent="0.25">
      <c r="A9" s="9">
        <v>3</v>
      </c>
      <c r="B9" s="16" t="s">
        <v>23</v>
      </c>
      <c r="C9" s="9">
        <v>50</v>
      </c>
      <c r="D9" s="17">
        <v>5.76</v>
      </c>
      <c r="E9" s="17">
        <v>5.25</v>
      </c>
      <c r="F9" s="17">
        <v>14.94</v>
      </c>
      <c r="G9" s="18">
        <v>133</v>
      </c>
      <c r="H9" s="17">
        <v>0.05</v>
      </c>
      <c r="I9" s="19">
        <v>0.24</v>
      </c>
      <c r="J9" s="17">
        <v>0.03</v>
      </c>
      <c r="K9" s="17">
        <v>0.02</v>
      </c>
      <c r="L9" s="17">
        <v>156.6</v>
      </c>
      <c r="M9" s="17">
        <v>106.5</v>
      </c>
      <c r="N9" s="17">
        <v>17.399999999999999</v>
      </c>
      <c r="O9" s="17">
        <v>0.76</v>
      </c>
    </row>
    <row r="10" spans="1:15" ht="39" x14ac:dyDescent="0.25">
      <c r="A10" s="11">
        <v>173</v>
      </c>
      <c r="B10" s="3" t="s">
        <v>87</v>
      </c>
      <c r="C10" s="11">
        <v>210</v>
      </c>
      <c r="D10" s="11">
        <v>8.18</v>
      </c>
      <c r="E10" s="11">
        <v>12.8</v>
      </c>
      <c r="F10" s="11">
        <v>42.46</v>
      </c>
      <c r="G10" s="74">
        <v>318</v>
      </c>
      <c r="H10" s="33">
        <v>0.22</v>
      </c>
      <c r="I10" s="34">
        <v>1.2</v>
      </c>
      <c r="J10" s="33">
        <v>0.06</v>
      </c>
      <c r="K10" s="33">
        <v>0.16</v>
      </c>
      <c r="L10" s="33">
        <v>129.12</v>
      </c>
      <c r="M10" s="33">
        <v>197.54</v>
      </c>
      <c r="N10" s="33">
        <v>53.22</v>
      </c>
      <c r="O10" s="33">
        <v>1.42</v>
      </c>
    </row>
    <row r="11" spans="1:15" x14ac:dyDescent="0.25">
      <c r="A11" s="11">
        <v>338</v>
      </c>
      <c r="B11" s="66" t="s">
        <v>51</v>
      </c>
      <c r="C11" s="11">
        <v>100</v>
      </c>
      <c r="D11" s="11">
        <v>0.4</v>
      </c>
      <c r="E11" s="11">
        <v>0.3</v>
      </c>
      <c r="F11" s="11">
        <v>10.3</v>
      </c>
      <c r="G11" s="100">
        <v>47</v>
      </c>
      <c r="H11" s="33">
        <v>0.02</v>
      </c>
      <c r="I11" s="34">
        <v>5</v>
      </c>
      <c r="J11" s="33">
        <v>0</v>
      </c>
      <c r="K11" s="33">
        <v>0.03</v>
      </c>
      <c r="L11" s="33">
        <v>19</v>
      </c>
      <c r="M11" s="33">
        <v>16</v>
      </c>
      <c r="N11" s="33">
        <v>12</v>
      </c>
      <c r="O11" s="33">
        <v>2.2999999999999998</v>
      </c>
    </row>
    <row r="12" spans="1:15" x14ac:dyDescent="0.25">
      <c r="A12" s="9">
        <v>386</v>
      </c>
      <c r="B12" s="20" t="s">
        <v>71</v>
      </c>
      <c r="C12" s="9">
        <v>200</v>
      </c>
      <c r="D12" s="17">
        <v>3.4</v>
      </c>
      <c r="E12" s="17">
        <v>2.8</v>
      </c>
      <c r="F12" s="17">
        <v>29.8</v>
      </c>
      <c r="G12" s="19">
        <v>105</v>
      </c>
      <c r="H12" s="33"/>
      <c r="I12" s="34"/>
      <c r="J12" s="33"/>
      <c r="K12" s="33"/>
      <c r="L12" s="33"/>
      <c r="M12" s="33"/>
      <c r="N12" s="33"/>
      <c r="O12" s="33"/>
    </row>
    <row r="13" spans="1:15" x14ac:dyDescent="0.25">
      <c r="A13" s="11"/>
      <c r="B13" s="20" t="s">
        <v>31</v>
      </c>
      <c r="C13" s="9">
        <v>30</v>
      </c>
      <c r="D13" s="17">
        <v>2</v>
      </c>
      <c r="E13" s="17">
        <v>0.7</v>
      </c>
      <c r="F13" s="17">
        <v>13.7</v>
      </c>
      <c r="G13" s="19">
        <v>70.5</v>
      </c>
      <c r="H13" s="33"/>
      <c r="I13" s="34"/>
      <c r="J13" s="33"/>
      <c r="K13" s="33"/>
      <c r="L13" s="33"/>
      <c r="M13" s="33"/>
      <c r="N13" s="33"/>
      <c r="O13" s="33"/>
    </row>
    <row r="14" spans="1:15" x14ac:dyDescent="0.25">
      <c r="A14" s="11"/>
      <c r="B14" s="67" t="s">
        <v>34</v>
      </c>
      <c r="C14" s="11">
        <f>SUM(C9:C13)</f>
        <v>590</v>
      </c>
      <c r="D14" s="31">
        <f t="shared" ref="D14:O14" si="0">SUM(D9:D13)</f>
        <v>19.739999999999998</v>
      </c>
      <c r="E14" s="31">
        <f t="shared" si="0"/>
        <v>21.85</v>
      </c>
      <c r="F14" s="31">
        <f t="shared" si="0"/>
        <v>111.2</v>
      </c>
      <c r="G14" s="55">
        <f t="shared" si="0"/>
        <v>673.5</v>
      </c>
      <c r="H14" s="42">
        <f t="shared" si="0"/>
        <v>0.29000000000000004</v>
      </c>
      <c r="I14" s="56">
        <f t="shared" si="0"/>
        <v>6.4399999999999995</v>
      </c>
      <c r="J14" s="42">
        <f t="shared" si="0"/>
        <v>0.09</v>
      </c>
      <c r="K14" s="42">
        <f t="shared" si="0"/>
        <v>0.21</v>
      </c>
      <c r="L14" s="42">
        <f t="shared" si="0"/>
        <v>304.72000000000003</v>
      </c>
      <c r="M14" s="42">
        <f t="shared" si="0"/>
        <v>320.03999999999996</v>
      </c>
      <c r="N14" s="42">
        <f t="shared" si="0"/>
        <v>82.62</v>
      </c>
      <c r="O14" s="42">
        <f t="shared" si="0"/>
        <v>4.4799999999999995</v>
      </c>
    </row>
    <row r="15" spans="1:15" x14ac:dyDescent="0.25">
      <c r="A15" s="11"/>
      <c r="B15" s="31" t="s">
        <v>29</v>
      </c>
      <c r="C15" s="11"/>
      <c r="D15" s="11"/>
      <c r="E15" s="11"/>
      <c r="F15" s="11"/>
      <c r="G15" s="74"/>
      <c r="H15" s="33"/>
      <c r="I15" s="34"/>
      <c r="J15" s="33"/>
      <c r="K15" s="33"/>
      <c r="L15" s="33"/>
      <c r="M15" s="33"/>
      <c r="N15" s="33"/>
      <c r="O15" s="33"/>
    </row>
    <row r="16" spans="1:15" x14ac:dyDescent="0.25">
      <c r="A16" s="11">
        <v>71</v>
      </c>
      <c r="B16" s="41" t="s">
        <v>107</v>
      </c>
      <c r="C16" s="33">
        <v>60</v>
      </c>
      <c r="D16" s="33">
        <f>C16*0.011</f>
        <v>0.65999999999999992</v>
      </c>
      <c r="E16" s="33">
        <f>C16*0.002</f>
        <v>0.12</v>
      </c>
      <c r="F16" s="33">
        <f>C16*0.038</f>
        <v>2.2799999999999998</v>
      </c>
      <c r="G16" s="34">
        <f>C16*0.24</f>
        <v>14.399999999999999</v>
      </c>
      <c r="H16" s="33">
        <f>C16*0.0006</f>
        <v>3.5999999999999997E-2</v>
      </c>
      <c r="I16" s="34">
        <f>C16*0.25</f>
        <v>15</v>
      </c>
      <c r="J16" s="33">
        <v>0</v>
      </c>
      <c r="K16" s="33">
        <f>C16*0.0004</f>
        <v>2.4E-2</v>
      </c>
      <c r="L16" s="33">
        <f>C16*0.14</f>
        <v>8.4</v>
      </c>
      <c r="M16" s="33">
        <f>C16*0.26</f>
        <v>15.600000000000001</v>
      </c>
      <c r="N16" s="33">
        <f>C16*0.2</f>
        <v>12</v>
      </c>
      <c r="O16" s="33">
        <f>C16*0.009</f>
        <v>0.53999999999999992</v>
      </c>
    </row>
    <row r="17" spans="1:15" ht="40.5" x14ac:dyDescent="0.25">
      <c r="A17" s="11">
        <v>102</v>
      </c>
      <c r="B17" s="68" t="s">
        <v>61</v>
      </c>
      <c r="C17" s="11">
        <v>200</v>
      </c>
      <c r="D17" s="11">
        <f>C17*0.02192</f>
        <v>4.3839999999999995</v>
      </c>
      <c r="E17" s="11">
        <f>C17*0.01896</f>
        <v>3.7920000000000003</v>
      </c>
      <c r="F17" s="11">
        <f>C17*0.07896</f>
        <v>15.792</v>
      </c>
      <c r="G17" s="74">
        <f>C17*0.584</f>
        <v>116.8</v>
      </c>
      <c r="H17" s="33">
        <f>C17*0.00092</f>
        <v>0.184</v>
      </c>
      <c r="I17" s="34">
        <f>C17*0.061</f>
        <v>12.2</v>
      </c>
      <c r="J17" s="33">
        <f>C17*0.00008</f>
        <v>1.6E-2</v>
      </c>
      <c r="K17" s="33">
        <f>C17*0.00032</f>
        <v>6.4000000000000001E-2</v>
      </c>
      <c r="L17" s="33">
        <f>C17*0.17536</f>
        <v>35.071999999999996</v>
      </c>
      <c r="M17" s="33">
        <f>C17*0.43768</f>
        <v>87.536000000000001</v>
      </c>
      <c r="N17" s="33">
        <f>C17*0.1612</f>
        <v>32.24</v>
      </c>
      <c r="O17" s="33">
        <f>C17*0.00808</f>
        <v>1.6160000000000001</v>
      </c>
    </row>
    <row r="18" spans="1:15" ht="39" x14ac:dyDescent="0.25">
      <c r="A18" s="11">
        <v>268</v>
      </c>
      <c r="B18" s="54" t="s">
        <v>88</v>
      </c>
      <c r="C18" s="11">
        <v>90</v>
      </c>
      <c r="D18" s="11">
        <f>C18*0.13</f>
        <v>11.700000000000001</v>
      </c>
      <c r="E18" s="11">
        <f>C18*0.203</f>
        <v>18.27</v>
      </c>
      <c r="F18" s="11">
        <f>C18*0.115</f>
        <v>10.35</v>
      </c>
      <c r="G18" s="83">
        <f>C18*2.8</f>
        <v>251.99999999999997</v>
      </c>
      <c r="H18" s="33">
        <f>C18*0.002</f>
        <v>0.18</v>
      </c>
      <c r="I18" s="34">
        <f>C18*0.002</f>
        <v>0.18</v>
      </c>
      <c r="J18" s="33">
        <f>C18*0.0003</f>
        <v>2.6999999999999996E-2</v>
      </c>
      <c r="K18" s="33">
        <f>C18*0.0012</f>
        <v>0.10799999999999998</v>
      </c>
      <c r="L18" s="33">
        <f>C18*0.19</f>
        <v>17.100000000000001</v>
      </c>
      <c r="M18" s="33">
        <f>C18*1.29</f>
        <v>116.10000000000001</v>
      </c>
      <c r="N18" s="33">
        <f>C18*0.25</f>
        <v>22.5</v>
      </c>
      <c r="O18" s="33">
        <f>C18*0.014</f>
        <v>1.26</v>
      </c>
    </row>
    <row r="19" spans="1:15" ht="51.75" x14ac:dyDescent="0.25">
      <c r="A19" s="11">
        <v>139</v>
      </c>
      <c r="B19" s="54" t="s">
        <v>74</v>
      </c>
      <c r="C19" s="11">
        <v>150</v>
      </c>
      <c r="D19" s="11">
        <f>C19*0.0237</f>
        <v>3.5549999999999997</v>
      </c>
      <c r="E19" s="11">
        <f>C19*0.0302</f>
        <v>4.53</v>
      </c>
      <c r="F19" s="11">
        <f>C19*0.1006</f>
        <v>15.09</v>
      </c>
      <c r="G19" s="74">
        <f>C19*0.77</f>
        <v>115.5</v>
      </c>
      <c r="H19" s="33">
        <f>C19*0.0004</f>
        <v>6.0000000000000005E-2</v>
      </c>
      <c r="I19" s="34">
        <f>C19*0.5288</f>
        <v>79.320000000000007</v>
      </c>
      <c r="J19" s="33">
        <f>C19*0.0002</f>
        <v>3.0000000000000002E-2</v>
      </c>
      <c r="K19" s="33">
        <f>C19*0.0005</f>
        <v>7.4999999999999997E-2</v>
      </c>
      <c r="L19" s="33">
        <f>C19*0.6207</f>
        <v>93.105000000000004</v>
      </c>
      <c r="M19" s="33">
        <f>C19*0.4221</f>
        <v>63.314999999999998</v>
      </c>
      <c r="N19" s="33">
        <f>C19*0.2131</f>
        <v>31.965000000000003</v>
      </c>
      <c r="O19" s="33">
        <f>C19*0.0084</f>
        <v>1.26</v>
      </c>
    </row>
    <row r="20" spans="1:15" ht="27.75" x14ac:dyDescent="0.25">
      <c r="A20" s="11" t="s">
        <v>110</v>
      </c>
      <c r="B20" s="68" t="s">
        <v>109</v>
      </c>
      <c r="C20" s="9">
        <v>200</v>
      </c>
      <c r="D20" s="9">
        <v>0.41</v>
      </c>
      <c r="E20" s="9">
        <v>0</v>
      </c>
      <c r="F20" s="9">
        <v>25.16</v>
      </c>
      <c r="G20" s="18">
        <v>98</v>
      </c>
      <c r="H20" s="17">
        <v>0.03</v>
      </c>
      <c r="I20" s="19">
        <v>0</v>
      </c>
      <c r="J20" s="17">
        <v>0</v>
      </c>
      <c r="K20" s="17">
        <v>0</v>
      </c>
      <c r="L20" s="17">
        <v>18.600000000000001</v>
      </c>
      <c r="M20" s="17">
        <v>29.67</v>
      </c>
      <c r="N20" s="17">
        <v>9.66</v>
      </c>
      <c r="O20" s="17">
        <v>0.72</v>
      </c>
    </row>
    <row r="21" spans="1:15" x14ac:dyDescent="0.25">
      <c r="A21" s="11"/>
      <c r="B21" s="20" t="s">
        <v>26</v>
      </c>
      <c r="C21" s="9">
        <v>35</v>
      </c>
      <c r="D21" s="9">
        <v>2.31</v>
      </c>
      <c r="E21" s="9">
        <v>0.39</v>
      </c>
      <c r="F21" s="9">
        <v>14.35</v>
      </c>
      <c r="G21" s="18">
        <v>72.099999999999994</v>
      </c>
      <c r="H21" s="33"/>
      <c r="I21" s="34"/>
      <c r="J21" s="33"/>
      <c r="K21" s="33"/>
      <c r="L21" s="33"/>
      <c r="M21" s="33"/>
      <c r="N21" s="33"/>
      <c r="O21" s="33"/>
    </row>
    <row r="22" spans="1:15" x14ac:dyDescent="0.25">
      <c r="A22" s="11"/>
      <c r="B22" s="20" t="s">
        <v>31</v>
      </c>
      <c r="C22" s="9">
        <v>30</v>
      </c>
      <c r="D22" s="9">
        <v>2</v>
      </c>
      <c r="E22" s="9">
        <v>0.7</v>
      </c>
      <c r="F22" s="9">
        <v>13.7</v>
      </c>
      <c r="G22" s="18">
        <v>70.5</v>
      </c>
      <c r="H22" s="33"/>
      <c r="I22" s="34"/>
      <c r="J22" s="33"/>
      <c r="K22" s="33"/>
      <c r="L22" s="33"/>
      <c r="M22" s="33"/>
      <c r="N22" s="33"/>
      <c r="O22" s="33"/>
    </row>
    <row r="23" spans="1:15" x14ac:dyDescent="0.25">
      <c r="A23" s="11"/>
      <c r="B23" s="22" t="s">
        <v>34</v>
      </c>
      <c r="C23" s="9">
        <f t="shared" ref="C23:O23" si="1">SUM(C16:C22)</f>
        <v>765</v>
      </c>
      <c r="D23" s="23">
        <f t="shared" si="1"/>
        <v>25.018999999999998</v>
      </c>
      <c r="E23" s="23">
        <f t="shared" si="1"/>
        <v>27.802</v>
      </c>
      <c r="F23" s="23">
        <f t="shared" si="1"/>
        <v>96.721999999999994</v>
      </c>
      <c r="G23" s="24">
        <f t="shared" si="1"/>
        <v>739.3</v>
      </c>
      <c r="H23" s="42">
        <f t="shared" si="1"/>
        <v>0.49</v>
      </c>
      <c r="I23" s="56">
        <f t="shared" si="1"/>
        <v>106.7</v>
      </c>
      <c r="J23" s="42">
        <f t="shared" si="1"/>
        <v>7.2999999999999995E-2</v>
      </c>
      <c r="K23" s="42">
        <f t="shared" si="1"/>
        <v>0.27099999999999996</v>
      </c>
      <c r="L23" s="42">
        <f t="shared" si="1"/>
        <v>172.27699999999999</v>
      </c>
      <c r="M23" s="42">
        <f t="shared" si="1"/>
        <v>312.221</v>
      </c>
      <c r="N23" s="42">
        <f t="shared" si="1"/>
        <v>108.36500000000001</v>
      </c>
      <c r="O23" s="42">
        <f t="shared" si="1"/>
        <v>5.3959999999999999</v>
      </c>
    </row>
    <row r="24" spans="1:15" x14ac:dyDescent="0.25">
      <c r="A24" s="11"/>
      <c r="B24" s="67" t="s">
        <v>33</v>
      </c>
      <c r="C24" s="11">
        <f t="shared" ref="C24:O24" si="2">C14+C23</f>
        <v>1355</v>
      </c>
      <c r="D24" s="11">
        <f t="shared" si="2"/>
        <v>44.759</v>
      </c>
      <c r="E24" s="11">
        <f t="shared" si="2"/>
        <v>49.652000000000001</v>
      </c>
      <c r="F24" s="11">
        <f t="shared" si="2"/>
        <v>207.922</v>
      </c>
      <c r="G24" s="74">
        <f t="shared" si="2"/>
        <v>1412.8</v>
      </c>
      <c r="H24" s="33">
        <f t="shared" si="2"/>
        <v>0.78</v>
      </c>
      <c r="I24" s="34">
        <f t="shared" si="2"/>
        <v>113.14</v>
      </c>
      <c r="J24" s="33">
        <f t="shared" si="2"/>
        <v>0.16299999999999998</v>
      </c>
      <c r="K24" s="33">
        <f t="shared" si="2"/>
        <v>0.48099999999999998</v>
      </c>
      <c r="L24" s="33">
        <f t="shared" si="2"/>
        <v>476.99700000000001</v>
      </c>
      <c r="M24" s="33">
        <f t="shared" si="2"/>
        <v>632.26099999999997</v>
      </c>
      <c r="N24" s="33">
        <f t="shared" si="2"/>
        <v>190.98500000000001</v>
      </c>
      <c r="O24" s="33">
        <f t="shared" si="2"/>
        <v>9.8759999999999994</v>
      </c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10" zoomScaleNormal="100" workbookViewId="0">
      <selection activeCell="C25" sqref="C25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8.75" x14ac:dyDescent="0.25">
      <c r="A1" s="60"/>
      <c r="B1" s="60"/>
      <c r="C1" s="60"/>
      <c r="D1" s="60"/>
      <c r="E1" s="60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</row>
    <row r="2" spans="1:15" x14ac:dyDescent="0.25">
      <c r="A2" s="60" t="s">
        <v>54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x14ac:dyDescent="0.25">
      <c r="A3" s="60" t="s">
        <v>53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15.75" x14ac:dyDescent="0.25">
      <c r="A4" s="60" t="s">
        <v>55</v>
      </c>
      <c r="B4" s="6" t="s">
        <v>99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x14ac:dyDescent="0.25">
      <c r="A5" s="60" t="s">
        <v>59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1:15" ht="45" customHeight="1" x14ac:dyDescent="0.25">
      <c r="A6" s="114" t="s">
        <v>5</v>
      </c>
      <c r="B6" s="115" t="s">
        <v>6</v>
      </c>
      <c r="C6" s="114" t="s">
        <v>7</v>
      </c>
      <c r="D6" s="111" t="s">
        <v>8</v>
      </c>
      <c r="E6" s="112"/>
      <c r="F6" s="113"/>
      <c r="G6" s="117" t="s">
        <v>12</v>
      </c>
      <c r="H6" s="111" t="s">
        <v>13</v>
      </c>
      <c r="I6" s="112"/>
      <c r="J6" s="112"/>
      <c r="K6" s="113"/>
      <c r="L6" s="111" t="s">
        <v>18</v>
      </c>
      <c r="M6" s="112"/>
      <c r="N6" s="112"/>
      <c r="O6" s="113"/>
    </row>
    <row r="7" spans="1:15" x14ac:dyDescent="0.25">
      <c r="A7" s="114"/>
      <c r="B7" s="116"/>
      <c r="C7" s="114"/>
      <c r="D7" s="11" t="s">
        <v>9</v>
      </c>
      <c r="E7" s="11" t="s">
        <v>10</v>
      </c>
      <c r="F7" s="11" t="s">
        <v>11</v>
      </c>
      <c r="G7" s="118"/>
      <c r="H7" s="11" t="s">
        <v>14</v>
      </c>
      <c r="I7" s="74" t="s">
        <v>15</v>
      </c>
      <c r="J7" s="11" t="s">
        <v>16</v>
      </c>
      <c r="K7" s="11" t="s">
        <v>17</v>
      </c>
      <c r="L7" s="11" t="s">
        <v>19</v>
      </c>
      <c r="M7" s="11" t="s">
        <v>20</v>
      </c>
      <c r="N7" s="11" t="s">
        <v>21</v>
      </c>
      <c r="O7" s="11" t="s">
        <v>22</v>
      </c>
    </row>
    <row r="8" spans="1:15" ht="15.75" x14ac:dyDescent="0.25">
      <c r="A8" s="11"/>
      <c r="B8" s="80" t="s">
        <v>28</v>
      </c>
      <c r="C8" s="11"/>
      <c r="D8" s="33"/>
      <c r="E8" s="33"/>
      <c r="F8" s="33"/>
      <c r="G8" s="74"/>
      <c r="H8" s="33"/>
      <c r="I8" s="34"/>
      <c r="J8" s="33"/>
      <c r="K8" s="33"/>
      <c r="L8" s="33"/>
      <c r="M8" s="33"/>
      <c r="N8" s="33"/>
      <c r="O8" s="33"/>
    </row>
    <row r="9" spans="1:15" x14ac:dyDescent="0.25">
      <c r="A9" s="9">
        <v>3</v>
      </c>
      <c r="B9" s="16" t="s">
        <v>23</v>
      </c>
      <c r="C9" s="9">
        <v>50</v>
      </c>
      <c r="D9" s="17">
        <v>5.76</v>
      </c>
      <c r="E9" s="17">
        <v>5.25</v>
      </c>
      <c r="F9" s="17">
        <v>14.94</v>
      </c>
      <c r="G9" s="18">
        <v>133</v>
      </c>
      <c r="H9" s="17">
        <v>0.05</v>
      </c>
      <c r="I9" s="19">
        <v>0.24</v>
      </c>
      <c r="J9" s="17">
        <v>0.03</v>
      </c>
      <c r="K9" s="17">
        <v>0.02</v>
      </c>
      <c r="L9" s="17">
        <v>156.6</v>
      </c>
      <c r="M9" s="17">
        <v>106.5</v>
      </c>
      <c r="N9" s="17">
        <v>17.399999999999999</v>
      </c>
      <c r="O9" s="17">
        <v>0.76</v>
      </c>
    </row>
    <row r="10" spans="1:15" ht="39" x14ac:dyDescent="0.25">
      <c r="A10" s="11">
        <v>173</v>
      </c>
      <c r="B10" s="3" t="s">
        <v>87</v>
      </c>
      <c r="C10" s="11">
        <v>210</v>
      </c>
      <c r="D10" s="11">
        <v>8.18</v>
      </c>
      <c r="E10" s="11">
        <v>12.8</v>
      </c>
      <c r="F10" s="11">
        <v>42.46</v>
      </c>
      <c r="G10" s="89">
        <v>318</v>
      </c>
      <c r="H10" s="33">
        <v>0.22</v>
      </c>
      <c r="I10" s="34">
        <v>1.2</v>
      </c>
      <c r="J10" s="33">
        <v>0.06</v>
      </c>
      <c r="K10" s="33">
        <v>0.16</v>
      </c>
      <c r="L10" s="33">
        <v>129.12</v>
      </c>
      <c r="M10" s="33">
        <v>197.54</v>
      </c>
      <c r="N10" s="33">
        <v>53.22</v>
      </c>
      <c r="O10" s="33">
        <v>1.42</v>
      </c>
    </row>
    <row r="11" spans="1:15" x14ac:dyDescent="0.25">
      <c r="A11" s="11">
        <v>338</v>
      </c>
      <c r="B11" s="66" t="s">
        <v>51</v>
      </c>
      <c r="C11" s="11">
        <v>100</v>
      </c>
      <c r="D11" s="17">
        <v>0.2</v>
      </c>
      <c r="E11" s="17">
        <v>0.05</v>
      </c>
      <c r="F11" s="17">
        <v>15.01</v>
      </c>
      <c r="G11" s="19">
        <v>57</v>
      </c>
      <c r="H11" s="17">
        <v>0</v>
      </c>
      <c r="I11" s="19">
        <v>0.1</v>
      </c>
      <c r="J11" s="17">
        <v>0</v>
      </c>
      <c r="K11" s="17">
        <v>0</v>
      </c>
      <c r="L11" s="17">
        <v>5.25</v>
      </c>
      <c r="M11" s="17">
        <v>8.24</v>
      </c>
      <c r="N11" s="17">
        <v>4.4000000000000004</v>
      </c>
      <c r="O11" s="17">
        <v>0.86</v>
      </c>
    </row>
    <row r="12" spans="1:15" x14ac:dyDescent="0.25">
      <c r="A12" s="9">
        <v>386</v>
      </c>
      <c r="B12" s="20" t="s">
        <v>71</v>
      </c>
      <c r="C12" s="9">
        <v>200</v>
      </c>
      <c r="D12" s="17">
        <v>3.4</v>
      </c>
      <c r="E12" s="17">
        <v>2.8</v>
      </c>
      <c r="F12" s="17">
        <v>29.8</v>
      </c>
      <c r="G12" s="19">
        <v>105</v>
      </c>
      <c r="H12" s="33"/>
      <c r="I12" s="34"/>
      <c r="J12" s="33"/>
      <c r="K12" s="33"/>
      <c r="L12" s="33"/>
      <c r="M12" s="33"/>
      <c r="N12" s="33"/>
      <c r="O12" s="33"/>
    </row>
    <row r="13" spans="1:15" x14ac:dyDescent="0.25">
      <c r="A13" s="11"/>
      <c r="B13" s="20" t="s">
        <v>31</v>
      </c>
      <c r="C13" s="9">
        <v>30</v>
      </c>
      <c r="D13" s="17">
        <v>2</v>
      </c>
      <c r="E13" s="17">
        <v>0.7</v>
      </c>
      <c r="F13" s="17">
        <v>13.7</v>
      </c>
      <c r="G13" s="19">
        <v>70.5</v>
      </c>
      <c r="H13" s="33"/>
      <c r="I13" s="34"/>
      <c r="J13" s="33"/>
      <c r="K13" s="33"/>
      <c r="L13" s="33"/>
      <c r="M13" s="33"/>
      <c r="N13" s="33"/>
      <c r="O13" s="33"/>
    </row>
    <row r="14" spans="1:15" x14ac:dyDescent="0.25">
      <c r="A14" s="11"/>
      <c r="B14" s="67" t="s">
        <v>34</v>
      </c>
      <c r="C14" s="11">
        <f>SUM(C9:C13)</f>
        <v>590</v>
      </c>
      <c r="D14" s="31">
        <f t="shared" ref="D14:O14" si="0">SUM(D9:D13)</f>
        <v>19.54</v>
      </c>
      <c r="E14" s="31">
        <f t="shared" si="0"/>
        <v>21.6</v>
      </c>
      <c r="F14" s="31">
        <f t="shared" si="0"/>
        <v>115.91</v>
      </c>
      <c r="G14" s="55">
        <f t="shared" si="0"/>
        <v>683.5</v>
      </c>
      <c r="H14" s="42">
        <f t="shared" si="0"/>
        <v>0.27</v>
      </c>
      <c r="I14" s="56">
        <f t="shared" si="0"/>
        <v>1.54</v>
      </c>
      <c r="J14" s="42">
        <f t="shared" si="0"/>
        <v>0.09</v>
      </c>
      <c r="K14" s="42">
        <f t="shared" si="0"/>
        <v>0.18</v>
      </c>
      <c r="L14" s="42">
        <f t="shared" si="0"/>
        <v>290.97000000000003</v>
      </c>
      <c r="M14" s="42">
        <f t="shared" si="0"/>
        <v>312.27999999999997</v>
      </c>
      <c r="N14" s="42">
        <f t="shared" si="0"/>
        <v>75.02000000000001</v>
      </c>
      <c r="O14" s="42">
        <f t="shared" si="0"/>
        <v>3.0399999999999996</v>
      </c>
    </row>
    <row r="15" spans="1:15" x14ac:dyDescent="0.25">
      <c r="A15" s="11"/>
      <c r="B15" s="31" t="s">
        <v>29</v>
      </c>
      <c r="C15" s="11"/>
      <c r="D15" s="11"/>
      <c r="E15" s="11"/>
      <c r="F15" s="11"/>
      <c r="G15" s="74"/>
      <c r="H15" s="33"/>
      <c r="I15" s="34"/>
      <c r="J15" s="33"/>
      <c r="K15" s="33"/>
      <c r="L15" s="33"/>
      <c r="M15" s="33"/>
      <c r="N15" s="33"/>
      <c r="O15" s="33"/>
    </row>
    <row r="16" spans="1:15" x14ac:dyDescent="0.25">
      <c r="A16" s="11">
        <v>71</v>
      </c>
      <c r="B16" s="41" t="s">
        <v>107</v>
      </c>
      <c r="C16" s="33">
        <v>100</v>
      </c>
      <c r="D16" s="33">
        <f>C16*0.011</f>
        <v>1.0999999999999999</v>
      </c>
      <c r="E16" s="33">
        <f>C16*0.002</f>
        <v>0.2</v>
      </c>
      <c r="F16" s="33">
        <f>C16*0.038</f>
        <v>3.8</v>
      </c>
      <c r="G16" s="34">
        <f>C16*0.24</f>
        <v>24</v>
      </c>
      <c r="H16" s="33">
        <f>C16*0.0006</f>
        <v>0.06</v>
      </c>
      <c r="I16" s="34">
        <f>C16*0.25</f>
        <v>25</v>
      </c>
      <c r="J16" s="33">
        <v>0</v>
      </c>
      <c r="K16" s="33">
        <f>C16*0.0004</f>
        <v>0.04</v>
      </c>
      <c r="L16" s="33">
        <f>C16*0.14</f>
        <v>14.000000000000002</v>
      </c>
      <c r="M16" s="33">
        <f>C16*0.26</f>
        <v>26</v>
      </c>
      <c r="N16" s="33">
        <f>C16*0.2</f>
        <v>20</v>
      </c>
      <c r="O16" s="33">
        <f>C16*0.009</f>
        <v>0.89999999999999991</v>
      </c>
    </row>
    <row r="17" spans="1:15" ht="40.5" x14ac:dyDescent="0.25">
      <c r="A17" s="11">
        <v>102</v>
      </c>
      <c r="B17" s="68" t="s">
        <v>61</v>
      </c>
      <c r="C17" s="11">
        <v>250</v>
      </c>
      <c r="D17" s="11">
        <f>C17*0.02192</f>
        <v>5.4799999999999995</v>
      </c>
      <c r="E17" s="11">
        <f>C17*0.01896</f>
        <v>4.74</v>
      </c>
      <c r="F17" s="11">
        <f>C17*0.07896</f>
        <v>19.740000000000002</v>
      </c>
      <c r="G17" s="74">
        <f>C17*0.584</f>
        <v>146</v>
      </c>
      <c r="H17" s="33">
        <f>C17*0.00092</f>
        <v>0.23</v>
      </c>
      <c r="I17" s="34">
        <f>C17*0.061</f>
        <v>15.25</v>
      </c>
      <c r="J17" s="33">
        <f>C17*0.00008</f>
        <v>0.02</v>
      </c>
      <c r="K17" s="33">
        <f>C17*0.00032</f>
        <v>0.08</v>
      </c>
      <c r="L17" s="33">
        <f>C17*0.17536</f>
        <v>43.839999999999996</v>
      </c>
      <c r="M17" s="33">
        <f>C17*0.43768</f>
        <v>109.42</v>
      </c>
      <c r="N17" s="33">
        <f>C17*0.1612</f>
        <v>40.300000000000004</v>
      </c>
      <c r="O17" s="33">
        <f>C17*0.00808</f>
        <v>2.02</v>
      </c>
    </row>
    <row r="18" spans="1:15" ht="39" x14ac:dyDescent="0.25">
      <c r="A18" s="11">
        <v>268</v>
      </c>
      <c r="B18" s="54" t="s">
        <v>88</v>
      </c>
      <c r="C18" s="11">
        <v>100</v>
      </c>
      <c r="D18" s="11">
        <f>C18*0.13</f>
        <v>13</v>
      </c>
      <c r="E18" s="11">
        <f>C18*0.203</f>
        <v>20.3</v>
      </c>
      <c r="F18" s="11">
        <f>C18*0.115</f>
        <v>11.5</v>
      </c>
      <c r="G18" s="83">
        <f>C18*2.8</f>
        <v>280</v>
      </c>
      <c r="H18" s="33">
        <f>C18*0.002</f>
        <v>0.2</v>
      </c>
      <c r="I18" s="34">
        <f>C18*0.002</f>
        <v>0.2</v>
      </c>
      <c r="J18" s="33">
        <f>C18*0.0003</f>
        <v>0.03</v>
      </c>
      <c r="K18" s="33">
        <f>C18*0.0012</f>
        <v>0.12</v>
      </c>
      <c r="L18" s="33">
        <f>C18*0.19</f>
        <v>19</v>
      </c>
      <c r="M18" s="33">
        <f>C18*1.29</f>
        <v>129</v>
      </c>
      <c r="N18" s="33">
        <f>C18*0.25</f>
        <v>25</v>
      </c>
      <c r="O18" s="33">
        <f>C18*0.014</f>
        <v>1.4000000000000001</v>
      </c>
    </row>
    <row r="19" spans="1:15" ht="51.75" x14ac:dyDescent="0.25">
      <c r="A19" s="11">
        <v>139</v>
      </c>
      <c r="B19" s="54" t="s">
        <v>74</v>
      </c>
      <c r="C19" s="11">
        <v>180</v>
      </c>
      <c r="D19" s="11">
        <f>C19*0.0237</f>
        <v>4.266</v>
      </c>
      <c r="E19" s="11">
        <f>C19*0.0302</f>
        <v>5.4359999999999999</v>
      </c>
      <c r="F19" s="11">
        <f>C19*0.1006</f>
        <v>18.108000000000001</v>
      </c>
      <c r="G19" s="74">
        <f>C19*0.77</f>
        <v>138.6</v>
      </c>
      <c r="H19" s="33">
        <f>C19*0.0004</f>
        <v>7.2000000000000008E-2</v>
      </c>
      <c r="I19" s="34">
        <f>C19*0.5288</f>
        <v>95.184000000000012</v>
      </c>
      <c r="J19" s="33">
        <f>C19*0.0002</f>
        <v>3.6000000000000004E-2</v>
      </c>
      <c r="K19" s="33">
        <f>C19*0.0005</f>
        <v>0.09</v>
      </c>
      <c r="L19" s="33">
        <f>C19*0.6207</f>
        <v>111.726</v>
      </c>
      <c r="M19" s="33">
        <f>C19*0.4221</f>
        <v>75.977999999999994</v>
      </c>
      <c r="N19" s="33">
        <f>C19*0.2131</f>
        <v>38.358000000000004</v>
      </c>
      <c r="O19" s="33">
        <f>C19*0.0084</f>
        <v>1.512</v>
      </c>
    </row>
    <row r="20" spans="1:15" ht="27.75" x14ac:dyDescent="0.25">
      <c r="A20" s="11" t="s">
        <v>110</v>
      </c>
      <c r="B20" s="68" t="s">
        <v>109</v>
      </c>
      <c r="C20" s="9">
        <v>200</v>
      </c>
      <c r="D20" s="9">
        <v>0.41</v>
      </c>
      <c r="E20" s="9">
        <v>0</v>
      </c>
      <c r="F20" s="9">
        <v>25.16</v>
      </c>
      <c r="G20" s="18">
        <v>98</v>
      </c>
      <c r="H20" s="17">
        <v>0.03</v>
      </c>
      <c r="I20" s="19">
        <v>0</v>
      </c>
      <c r="J20" s="17">
        <v>0</v>
      </c>
      <c r="K20" s="17">
        <v>0</v>
      </c>
      <c r="L20" s="17">
        <v>18.600000000000001</v>
      </c>
      <c r="M20" s="17">
        <v>29.67</v>
      </c>
      <c r="N20" s="17">
        <v>9.66</v>
      </c>
      <c r="O20" s="17">
        <v>0.72</v>
      </c>
    </row>
    <row r="21" spans="1:15" x14ac:dyDescent="0.25">
      <c r="A21" s="11"/>
      <c r="B21" s="20" t="s">
        <v>26</v>
      </c>
      <c r="C21" s="9">
        <v>35</v>
      </c>
      <c r="D21" s="9">
        <v>2.31</v>
      </c>
      <c r="E21" s="9">
        <v>0.39</v>
      </c>
      <c r="F21" s="9">
        <v>14.35</v>
      </c>
      <c r="G21" s="18">
        <v>72.099999999999994</v>
      </c>
      <c r="H21" s="33"/>
      <c r="I21" s="34"/>
      <c r="J21" s="33"/>
      <c r="K21" s="33"/>
      <c r="L21" s="33"/>
      <c r="M21" s="33"/>
      <c r="N21" s="33"/>
      <c r="O21" s="33"/>
    </row>
    <row r="22" spans="1:15" x14ac:dyDescent="0.25">
      <c r="A22" s="11"/>
      <c r="B22" s="20" t="s">
        <v>31</v>
      </c>
      <c r="C22" s="9">
        <v>30</v>
      </c>
      <c r="D22" s="9">
        <v>2</v>
      </c>
      <c r="E22" s="9">
        <v>0.7</v>
      </c>
      <c r="F22" s="9">
        <v>13.7</v>
      </c>
      <c r="G22" s="18">
        <v>70.5</v>
      </c>
      <c r="H22" s="33"/>
      <c r="I22" s="34"/>
      <c r="J22" s="33"/>
      <c r="K22" s="33"/>
      <c r="L22" s="33"/>
      <c r="M22" s="33"/>
      <c r="N22" s="33"/>
      <c r="O22" s="33"/>
    </row>
    <row r="23" spans="1:15" x14ac:dyDescent="0.25">
      <c r="A23" s="11"/>
      <c r="B23" s="22" t="s">
        <v>34</v>
      </c>
      <c r="C23" s="9">
        <f t="shared" ref="C23:O23" si="1">SUM(C16:C22)</f>
        <v>895</v>
      </c>
      <c r="D23" s="23">
        <f t="shared" si="1"/>
        <v>28.565999999999995</v>
      </c>
      <c r="E23" s="23">
        <f t="shared" si="1"/>
        <v>31.766000000000002</v>
      </c>
      <c r="F23" s="23">
        <f t="shared" si="1"/>
        <v>106.358</v>
      </c>
      <c r="G23" s="24">
        <f t="shared" si="1"/>
        <v>829.2</v>
      </c>
      <c r="H23" s="42">
        <f t="shared" si="1"/>
        <v>0.59200000000000008</v>
      </c>
      <c r="I23" s="56">
        <f t="shared" si="1"/>
        <v>135.63400000000001</v>
      </c>
      <c r="J23" s="42">
        <f t="shared" si="1"/>
        <v>8.6000000000000007E-2</v>
      </c>
      <c r="K23" s="42">
        <f t="shared" si="1"/>
        <v>0.32999999999999996</v>
      </c>
      <c r="L23" s="42">
        <f t="shared" si="1"/>
        <v>207.166</v>
      </c>
      <c r="M23" s="42">
        <f t="shared" si="1"/>
        <v>370.06800000000004</v>
      </c>
      <c r="N23" s="42">
        <f t="shared" si="1"/>
        <v>133.31800000000001</v>
      </c>
      <c r="O23" s="42">
        <f t="shared" si="1"/>
        <v>6.5520000000000005</v>
      </c>
    </row>
    <row r="24" spans="1:15" x14ac:dyDescent="0.25">
      <c r="A24" s="11"/>
      <c r="B24" s="67" t="s">
        <v>33</v>
      </c>
      <c r="C24" s="11">
        <f t="shared" ref="C24:O24" si="2">C14+C23</f>
        <v>1485</v>
      </c>
      <c r="D24" s="11">
        <f t="shared" si="2"/>
        <v>48.105999999999995</v>
      </c>
      <c r="E24" s="11">
        <f t="shared" si="2"/>
        <v>53.366</v>
      </c>
      <c r="F24" s="11">
        <f t="shared" si="2"/>
        <v>222.268</v>
      </c>
      <c r="G24" s="74">
        <f t="shared" si="2"/>
        <v>1512.7</v>
      </c>
      <c r="H24" s="33">
        <f t="shared" si="2"/>
        <v>0.8620000000000001</v>
      </c>
      <c r="I24" s="34">
        <f t="shared" si="2"/>
        <v>137.17400000000001</v>
      </c>
      <c r="J24" s="33">
        <f t="shared" si="2"/>
        <v>0.17599999999999999</v>
      </c>
      <c r="K24" s="33">
        <f t="shared" si="2"/>
        <v>0.51</v>
      </c>
      <c r="L24" s="33">
        <f t="shared" si="2"/>
        <v>498.13600000000002</v>
      </c>
      <c r="M24" s="33">
        <f t="shared" si="2"/>
        <v>682.34799999999996</v>
      </c>
      <c r="N24" s="33">
        <f t="shared" si="2"/>
        <v>208.33800000000002</v>
      </c>
      <c r="O24" s="33">
        <f t="shared" si="2"/>
        <v>9.5920000000000005</v>
      </c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3" zoomScaleNormal="100" workbookViewId="0">
      <selection activeCell="B14" sqref="B14:G14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8.75" x14ac:dyDescent="0.3">
      <c r="A1" s="77"/>
      <c r="B1" s="77"/>
      <c r="C1" s="77"/>
      <c r="D1" s="77"/>
      <c r="E1" s="77"/>
      <c r="F1" s="78" t="s">
        <v>0</v>
      </c>
      <c r="G1" s="79"/>
      <c r="H1" s="77"/>
      <c r="I1" s="77"/>
      <c r="J1" s="77"/>
      <c r="K1" s="77"/>
      <c r="L1" s="77"/>
      <c r="M1" s="77"/>
      <c r="N1" s="77"/>
      <c r="O1" s="77"/>
    </row>
    <row r="2" spans="1:15" x14ac:dyDescent="0.25">
      <c r="A2" s="77" t="s">
        <v>41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x14ac:dyDescent="0.25">
      <c r="A3" s="77" t="s">
        <v>52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ht="15.75" x14ac:dyDescent="0.25">
      <c r="A4" s="77" t="s">
        <v>3</v>
      </c>
      <c r="B4" s="6" t="s">
        <v>99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x14ac:dyDescent="0.25">
      <c r="A5" s="77" t="s">
        <v>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15" ht="45" customHeight="1" x14ac:dyDescent="0.25">
      <c r="A6" s="114" t="s">
        <v>5</v>
      </c>
      <c r="B6" s="115" t="s">
        <v>6</v>
      </c>
      <c r="C6" s="114" t="s">
        <v>7</v>
      </c>
      <c r="D6" s="111" t="s">
        <v>8</v>
      </c>
      <c r="E6" s="112"/>
      <c r="F6" s="113"/>
      <c r="G6" s="117" t="s">
        <v>12</v>
      </c>
      <c r="H6" s="111" t="s">
        <v>13</v>
      </c>
      <c r="I6" s="112"/>
      <c r="J6" s="112"/>
      <c r="K6" s="113"/>
      <c r="L6" s="111" t="s">
        <v>18</v>
      </c>
      <c r="M6" s="112"/>
      <c r="N6" s="112"/>
      <c r="O6" s="113"/>
    </row>
    <row r="7" spans="1:15" x14ac:dyDescent="0.25">
      <c r="A7" s="114"/>
      <c r="B7" s="116"/>
      <c r="C7" s="114"/>
      <c r="D7" s="11" t="s">
        <v>9</v>
      </c>
      <c r="E7" s="11" t="s">
        <v>10</v>
      </c>
      <c r="F7" s="11" t="s">
        <v>11</v>
      </c>
      <c r="G7" s="118"/>
      <c r="H7" s="11" t="s">
        <v>14</v>
      </c>
      <c r="I7" s="74" t="s">
        <v>15</v>
      </c>
      <c r="J7" s="11" t="s">
        <v>16</v>
      </c>
      <c r="K7" s="11" t="s">
        <v>17</v>
      </c>
      <c r="L7" s="11" t="s">
        <v>19</v>
      </c>
      <c r="M7" s="11" t="s">
        <v>20</v>
      </c>
      <c r="N7" s="11" t="s">
        <v>21</v>
      </c>
      <c r="O7" s="11" t="s">
        <v>22</v>
      </c>
    </row>
    <row r="8" spans="1:15" ht="15.75" x14ac:dyDescent="0.25">
      <c r="A8" s="11"/>
      <c r="B8" s="80" t="s">
        <v>28</v>
      </c>
      <c r="C8" s="11"/>
      <c r="D8" s="33"/>
      <c r="E8" s="33"/>
      <c r="F8" s="33"/>
      <c r="G8" s="74"/>
      <c r="H8" s="33"/>
      <c r="I8" s="34"/>
      <c r="J8" s="33"/>
      <c r="K8" s="33"/>
      <c r="L8" s="33"/>
      <c r="M8" s="33"/>
      <c r="N8" s="33"/>
      <c r="O8" s="33"/>
    </row>
    <row r="9" spans="1:15" x14ac:dyDescent="0.25">
      <c r="A9" s="9">
        <v>76</v>
      </c>
      <c r="B9" s="20" t="s">
        <v>89</v>
      </c>
      <c r="C9" s="9">
        <v>60</v>
      </c>
      <c r="D9" s="9">
        <f>C9*0.008</f>
        <v>0.48</v>
      </c>
      <c r="E9" s="9">
        <f>C9*0.001</f>
        <v>0.06</v>
      </c>
      <c r="F9" s="9">
        <f>C9*0.016</f>
        <v>0.96</v>
      </c>
      <c r="G9" s="18">
        <f>C9*0.1333333</f>
        <v>7.9999979999999997</v>
      </c>
      <c r="H9" s="17">
        <v>0</v>
      </c>
      <c r="I9" s="19">
        <f>C9*0.05</f>
        <v>3</v>
      </c>
      <c r="J9" s="17">
        <v>0</v>
      </c>
      <c r="K9" s="17">
        <v>0</v>
      </c>
      <c r="L9" s="17">
        <f>C9*0.23</f>
        <v>13.8</v>
      </c>
      <c r="M9" s="17">
        <f>C9*0.24</f>
        <v>14.399999999999999</v>
      </c>
      <c r="N9" s="17">
        <f>C9*0.14</f>
        <v>8.4</v>
      </c>
      <c r="O9" s="17">
        <f>C9*0.006</f>
        <v>0.36</v>
      </c>
    </row>
    <row r="10" spans="1:15" ht="39" x14ac:dyDescent="0.25">
      <c r="A10" s="11">
        <v>294</v>
      </c>
      <c r="B10" s="54" t="s">
        <v>73</v>
      </c>
      <c r="C10" s="11">
        <v>90</v>
      </c>
      <c r="D10" s="11">
        <f>C10*0.25</f>
        <v>22.5</v>
      </c>
      <c r="E10" s="11">
        <f>C10*0.1432</f>
        <v>12.888</v>
      </c>
      <c r="F10" s="11">
        <f>C10*0.1642</f>
        <v>14.778</v>
      </c>
      <c r="G10" s="74">
        <f>C10*2.96</f>
        <v>266.39999999999998</v>
      </c>
      <c r="H10" s="33">
        <f>C10*0.0012</f>
        <v>0.10799999999999998</v>
      </c>
      <c r="I10" s="34">
        <v>0</v>
      </c>
      <c r="J10" s="33">
        <f>C10*0.001</f>
        <v>0.09</v>
      </c>
      <c r="K10" s="33">
        <f>C10*0.0016</f>
        <v>0.14400000000000002</v>
      </c>
      <c r="L10" s="33">
        <f>C10*0.3054</f>
        <v>27.486000000000001</v>
      </c>
      <c r="M10" s="33">
        <f>C10*2.3024</f>
        <v>207.21600000000001</v>
      </c>
      <c r="N10" s="33">
        <f>C10*0.3314</f>
        <v>29.825999999999997</v>
      </c>
      <c r="O10" s="33">
        <f>C10*0.0242</f>
        <v>2.1779999999999999</v>
      </c>
    </row>
    <row r="11" spans="1:15" ht="30" x14ac:dyDescent="0.25">
      <c r="A11" s="11">
        <v>312</v>
      </c>
      <c r="B11" s="69" t="s">
        <v>30</v>
      </c>
      <c r="C11" s="11">
        <v>150</v>
      </c>
      <c r="D11" s="11">
        <f>C11*0.0216</f>
        <v>3.24</v>
      </c>
      <c r="E11" s="11">
        <f>C11*0.0373</f>
        <v>5.5949999999999998</v>
      </c>
      <c r="F11" s="11">
        <f>C11*0.147</f>
        <v>22.049999999999997</v>
      </c>
      <c r="G11" s="74">
        <f>C11*1.04</f>
        <v>156</v>
      </c>
      <c r="H11" s="33">
        <f>C11*0.001</f>
        <v>0.15</v>
      </c>
      <c r="I11" s="34">
        <f>C11*0.173</f>
        <v>25.95</v>
      </c>
      <c r="J11" s="33">
        <f>C11*0.0002</f>
        <v>3.0000000000000002E-2</v>
      </c>
      <c r="K11" s="33">
        <f>C11*0.0008</f>
        <v>0.12000000000000001</v>
      </c>
      <c r="L11" s="33">
        <f>C11*0.4633</f>
        <v>69.495000000000005</v>
      </c>
      <c r="M11" s="33">
        <f>C11*0.6447</f>
        <v>96.705000000000013</v>
      </c>
      <c r="N11" s="33">
        <f>C11*0.2299</f>
        <v>34.484999999999999</v>
      </c>
      <c r="O11" s="33">
        <f>C11*0.0093</f>
        <v>1.3949999999999998</v>
      </c>
    </row>
    <row r="12" spans="1:15" x14ac:dyDescent="0.25">
      <c r="A12" s="11">
        <v>377</v>
      </c>
      <c r="B12" s="64" t="s">
        <v>77</v>
      </c>
      <c r="C12" s="33">
        <v>222</v>
      </c>
      <c r="D12" s="33">
        <v>0.26</v>
      </c>
      <c r="E12" s="11">
        <v>0.05</v>
      </c>
      <c r="F12" s="11">
        <v>15.22</v>
      </c>
      <c r="G12" s="93">
        <v>59</v>
      </c>
      <c r="H12" s="33">
        <v>0</v>
      </c>
      <c r="I12" s="34">
        <v>2.9</v>
      </c>
      <c r="J12" s="33">
        <v>0</v>
      </c>
      <c r="K12" s="33">
        <v>0.01</v>
      </c>
      <c r="L12" s="33">
        <v>8.0500000000000007</v>
      </c>
      <c r="M12" s="33">
        <v>9.7799999999999994</v>
      </c>
      <c r="N12" s="33">
        <v>5.24</v>
      </c>
      <c r="O12" s="33">
        <v>0.9</v>
      </c>
    </row>
    <row r="13" spans="1:15" x14ac:dyDescent="0.25">
      <c r="A13" s="11"/>
      <c r="B13" s="20" t="s">
        <v>26</v>
      </c>
      <c r="C13" s="9">
        <v>35</v>
      </c>
      <c r="D13" s="9">
        <v>2.31</v>
      </c>
      <c r="E13" s="9">
        <v>0.39</v>
      </c>
      <c r="F13" s="9">
        <v>14.35</v>
      </c>
      <c r="G13" s="18">
        <v>72.099999999999994</v>
      </c>
      <c r="H13" s="33"/>
      <c r="I13" s="34"/>
      <c r="J13" s="33"/>
      <c r="K13" s="33"/>
      <c r="L13" s="33"/>
      <c r="M13" s="33"/>
      <c r="N13" s="33"/>
      <c r="O13" s="33"/>
    </row>
    <row r="14" spans="1:15" x14ac:dyDescent="0.25">
      <c r="A14" s="11"/>
      <c r="B14" s="20" t="s">
        <v>31</v>
      </c>
      <c r="C14" s="9">
        <v>30</v>
      </c>
      <c r="D14" s="17">
        <v>2</v>
      </c>
      <c r="E14" s="17">
        <v>0.7</v>
      </c>
      <c r="F14" s="17">
        <v>13.7</v>
      </c>
      <c r="G14" s="19">
        <v>70.5</v>
      </c>
      <c r="H14" s="33"/>
      <c r="I14" s="34"/>
      <c r="J14" s="33"/>
      <c r="K14" s="33"/>
      <c r="L14" s="33"/>
      <c r="M14" s="33"/>
      <c r="N14" s="33"/>
      <c r="O14" s="33"/>
    </row>
    <row r="15" spans="1:15" x14ac:dyDescent="0.25">
      <c r="A15" s="11"/>
      <c r="B15" s="76"/>
      <c r="C15" s="11"/>
      <c r="D15" s="11"/>
      <c r="E15" s="11"/>
      <c r="F15" s="11"/>
      <c r="G15" s="74"/>
      <c r="H15" s="42"/>
      <c r="I15" s="56"/>
      <c r="J15" s="42"/>
      <c r="K15" s="42"/>
      <c r="L15" s="42"/>
      <c r="M15" s="42"/>
      <c r="N15" s="42"/>
      <c r="O15" s="42"/>
    </row>
    <row r="16" spans="1:15" x14ac:dyDescent="0.25">
      <c r="A16" s="11"/>
      <c r="B16" s="67" t="s">
        <v>34</v>
      </c>
      <c r="C16" s="31">
        <f>SUM(C9:C15)</f>
        <v>587</v>
      </c>
      <c r="D16" s="31">
        <f>SUM(D9:D15)</f>
        <v>30.79</v>
      </c>
      <c r="E16" s="31">
        <f>SUM(E9:E15)</f>
        <v>19.683</v>
      </c>
      <c r="F16" s="31">
        <f>SUM(F9:F15)</f>
        <v>81.057999999999993</v>
      </c>
      <c r="G16" s="55">
        <f>SUM(G9:G15)</f>
        <v>631.99999800000001</v>
      </c>
      <c r="H16" s="42">
        <v>0.25800000000000001</v>
      </c>
      <c r="I16" s="56">
        <v>31.85</v>
      </c>
      <c r="J16" s="42">
        <v>0.12</v>
      </c>
      <c r="K16" s="42">
        <v>0.27400000000000002</v>
      </c>
      <c r="L16" s="42">
        <v>118.831</v>
      </c>
      <c r="M16" s="42">
        <v>328.101</v>
      </c>
      <c r="N16" s="42">
        <v>77.950999999999993</v>
      </c>
      <c r="O16" s="42">
        <v>4.8330000000000002</v>
      </c>
    </row>
    <row r="17" spans="1:15" x14ac:dyDescent="0.25">
      <c r="A17" s="11" t="s">
        <v>100</v>
      </c>
      <c r="B17" s="31" t="s">
        <v>29</v>
      </c>
      <c r="C17" s="11"/>
      <c r="D17" s="11"/>
      <c r="E17" s="11"/>
      <c r="F17" s="11"/>
      <c r="G17" s="74"/>
      <c r="H17" s="33"/>
      <c r="I17" s="34"/>
      <c r="J17" s="33"/>
      <c r="K17" s="33"/>
      <c r="L17" s="33"/>
      <c r="M17" s="33"/>
      <c r="N17" s="33"/>
      <c r="O17" s="33"/>
    </row>
    <row r="18" spans="1:15" ht="41.25" customHeight="1" x14ac:dyDescent="0.25">
      <c r="A18" s="11">
        <v>96</v>
      </c>
      <c r="B18" s="21" t="s">
        <v>101</v>
      </c>
      <c r="C18" s="11">
        <v>60</v>
      </c>
      <c r="D18" s="11">
        <f>C18*0.03</f>
        <v>1.7999999999999998</v>
      </c>
      <c r="E18" s="11">
        <f>C18*0.064</f>
        <v>3.84</v>
      </c>
      <c r="F18" s="11">
        <f>C18*0.24</f>
        <v>14.399999999999999</v>
      </c>
      <c r="G18" s="74">
        <f>C18*1.64</f>
        <v>98.399999999999991</v>
      </c>
      <c r="H18" s="33">
        <f>C19*0.0004</f>
        <v>8.2000000000000003E-2</v>
      </c>
      <c r="I18" s="34">
        <f>C19*0.06904</f>
        <v>14.1532</v>
      </c>
      <c r="J18" s="33">
        <f>C19*0.00012</f>
        <v>2.46E-2</v>
      </c>
      <c r="K18" s="33">
        <f>C19*0.00028</f>
        <v>5.7399999999999993E-2</v>
      </c>
      <c r="L18" s="33">
        <f>C19*0.0978</f>
        <v>20.048999999999999</v>
      </c>
      <c r="M18" s="33">
        <f>C19*0.2794</f>
        <v>57.276999999999994</v>
      </c>
      <c r="N18" s="33">
        <f>C19*0.10988</f>
        <v>22.525400000000001</v>
      </c>
      <c r="O18" s="33">
        <f>C19*0.00392</f>
        <v>0.80359999999999998</v>
      </c>
    </row>
    <row r="19" spans="1:15" ht="38.25" customHeight="1" x14ac:dyDescent="0.25">
      <c r="A19" s="75">
        <v>260</v>
      </c>
      <c r="B19" s="54" t="s">
        <v>72</v>
      </c>
      <c r="C19" s="11">
        <v>205</v>
      </c>
      <c r="D19" s="11">
        <f>C19*0.0096</f>
        <v>1.9679999999999997</v>
      </c>
      <c r="E19" s="11">
        <f>C19*0.022</f>
        <v>4.51</v>
      </c>
      <c r="F19" s="11">
        <f>C19*0.07144</f>
        <v>14.645200000000001</v>
      </c>
      <c r="G19" s="74">
        <f>C19*0.536</f>
        <v>109.88000000000001</v>
      </c>
      <c r="H19" s="33">
        <v>0.1</v>
      </c>
      <c r="I19" s="34">
        <v>3.12</v>
      </c>
      <c r="J19" s="33">
        <v>0.02</v>
      </c>
      <c r="K19" s="33">
        <v>0.09</v>
      </c>
      <c r="L19" s="33">
        <v>16.93</v>
      </c>
      <c r="M19" s="33">
        <v>178.64</v>
      </c>
      <c r="N19" s="33">
        <v>25.65</v>
      </c>
      <c r="O19" s="33">
        <v>8.85</v>
      </c>
    </row>
    <row r="20" spans="1:15" ht="42.75" x14ac:dyDescent="0.25">
      <c r="A20" s="12">
        <v>203</v>
      </c>
      <c r="B20" s="37" t="s">
        <v>90</v>
      </c>
      <c r="C20" s="92">
        <v>90</v>
      </c>
      <c r="D20" s="81">
        <v>16.149999999999999</v>
      </c>
      <c r="E20" s="33">
        <v>7.02</v>
      </c>
      <c r="F20" s="33">
        <v>4.79</v>
      </c>
      <c r="G20" s="34">
        <v>147</v>
      </c>
      <c r="H20" s="17">
        <f>C21*0.0008</f>
        <v>0.12000000000000001</v>
      </c>
      <c r="I20" s="19">
        <v>0</v>
      </c>
      <c r="J20" s="17">
        <f>C21*0.0002</f>
        <v>3.0000000000000002E-2</v>
      </c>
      <c r="K20" s="17">
        <f>C21*0.0003</f>
        <v>4.4999999999999998E-2</v>
      </c>
      <c r="L20" s="17">
        <f>C21*0.273</f>
        <v>40.950000000000003</v>
      </c>
      <c r="M20" s="17">
        <f>C21*0.4004</f>
        <v>60.059999999999995</v>
      </c>
      <c r="N20" s="17">
        <f>C21*0.1639</f>
        <v>24.584999999999997</v>
      </c>
      <c r="O20" s="17">
        <f>C21*0.0066</f>
        <v>0.99</v>
      </c>
    </row>
    <row r="21" spans="1:15" ht="30" x14ac:dyDescent="0.25">
      <c r="A21" s="11">
        <v>342</v>
      </c>
      <c r="B21" s="21" t="s">
        <v>24</v>
      </c>
      <c r="C21" s="9">
        <v>150</v>
      </c>
      <c r="D21" s="9">
        <f>C21*0.0365</f>
        <v>5.4749999999999996</v>
      </c>
      <c r="E21" s="9">
        <f>C21*0.0332</f>
        <v>4.9800000000000004</v>
      </c>
      <c r="F21" s="9">
        <f>C21*0.2325</f>
        <v>34.875</v>
      </c>
      <c r="G21" s="18">
        <f>C21*1.41</f>
        <v>211.5</v>
      </c>
      <c r="H21" s="33">
        <v>0.02</v>
      </c>
      <c r="I21" s="34">
        <v>1</v>
      </c>
      <c r="J21" s="33">
        <v>0</v>
      </c>
      <c r="K21" s="33">
        <v>0.05</v>
      </c>
      <c r="L21" s="33">
        <v>40.200000000000003</v>
      </c>
      <c r="M21" s="33">
        <v>36.5</v>
      </c>
      <c r="N21" s="33">
        <v>26.25</v>
      </c>
      <c r="O21" s="33">
        <v>0.83</v>
      </c>
    </row>
    <row r="22" spans="1:15" ht="28.5" x14ac:dyDescent="0.25">
      <c r="A22" s="11">
        <v>338</v>
      </c>
      <c r="B22" s="21" t="s">
        <v>43</v>
      </c>
      <c r="C22" s="11">
        <v>200</v>
      </c>
      <c r="D22" s="11">
        <v>1.3</v>
      </c>
      <c r="E22" s="11">
        <v>0</v>
      </c>
      <c r="F22" s="11">
        <v>23.73</v>
      </c>
      <c r="G22" s="74">
        <v>96</v>
      </c>
      <c r="H22" s="33">
        <v>0.08</v>
      </c>
      <c r="I22" s="34">
        <v>20</v>
      </c>
      <c r="J22" s="33">
        <v>0</v>
      </c>
      <c r="K22" s="33">
        <v>0</v>
      </c>
      <c r="L22" s="33">
        <v>16</v>
      </c>
      <c r="M22" s="33">
        <v>56</v>
      </c>
      <c r="N22" s="33">
        <v>84</v>
      </c>
      <c r="O22" s="33">
        <v>1.2</v>
      </c>
    </row>
    <row r="23" spans="1:15" x14ac:dyDescent="0.25">
      <c r="A23" s="11"/>
      <c r="B23" s="4" t="s">
        <v>44</v>
      </c>
      <c r="C23" s="11">
        <v>200</v>
      </c>
      <c r="D23" s="33">
        <v>3</v>
      </c>
      <c r="E23" s="33">
        <v>1</v>
      </c>
      <c r="F23" s="33">
        <v>42</v>
      </c>
      <c r="G23" s="34">
        <v>192</v>
      </c>
      <c r="H23" s="33"/>
      <c r="I23" s="34"/>
      <c r="J23" s="33"/>
      <c r="K23" s="33"/>
      <c r="L23" s="33"/>
      <c r="M23" s="33"/>
      <c r="N23" s="33"/>
      <c r="O23" s="33"/>
    </row>
    <row r="24" spans="1:15" x14ac:dyDescent="0.25">
      <c r="A24" s="11"/>
      <c r="B24" s="20" t="s">
        <v>26</v>
      </c>
      <c r="C24" s="9">
        <v>35</v>
      </c>
      <c r="D24" s="9">
        <v>2.31</v>
      </c>
      <c r="E24" s="9">
        <v>0.39</v>
      </c>
      <c r="F24" s="9">
        <v>14.35</v>
      </c>
      <c r="G24" s="18">
        <v>72.099999999999994</v>
      </c>
      <c r="H24" s="33"/>
      <c r="I24" s="34"/>
      <c r="J24" s="33"/>
      <c r="K24" s="33"/>
      <c r="L24" s="33"/>
      <c r="M24" s="33"/>
      <c r="N24" s="33"/>
      <c r="O24" s="33"/>
    </row>
    <row r="25" spans="1:15" x14ac:dyDescent="0.25">
      <c r="A25" s="11"/>
      <c r="B25" s="20" t="s">
        <v>31</v>
      </c>
      <c r="C25" s="9">
        <v>30</v>
      </c>
      <c r="D25" s="9">
        <v>2</v>
      </c>
      <c r="E25" s="9">
        <v>0.7</v>
      </c>
      <c r="F25" s="9">
        <v>13.7</v>
      </c>
      <c r="G25" s="18">
        <v>70.5</v>
      </c>
      <c r="H25" s="33">
        <f t="shared" ref="D25:O26" si="0">SUM(H17:H24)</f>
        <v>0.40200000000000002</v>
      </c>
      <c r="I25" s="34">
        <f t="shared" si="0"/>
        <v>38.273200000000003</v>
      </c>
      <c r="J25" s="33">
        <f t="shared" si="0"/>
        <v>7.46E-2</v>
      </c>
      <c r="K25" s="33">
        <f t="shared" si="0"/>
        <v>0.24239999999999995</v>
      </c>
      <c r="L25" s="33">
        <f t="shared" si="0"/>
        <v>134.12900000000002</v>
      </c>
      <c r="M25" s="33">
        <f t="shared" si="0"/>
        <v>388.47699999999998</v>
      </c>
      <c r="N25" s="33">
        <f t="shared" si="0"/>
        <v>183.0104</v>
      </c>
      <c r="O25" s="33">
        <f t="shared" si="0"/>
        <v>12.673599999999999</v>
      </c>
    </row>
    <row r="26" spans="1:15" x14ac:dyDescent="0.25">
      <c r="A26" s="11"/>
      <c r="B26" s="67" t="s">
        <v>34</v>
      </c>
      <c r="C26" s="23">
        <f>SUM(C18:C25)</f>
        <v>970</v>
      </c>
      <c r="D26" s="23">
        <f t="shared" si="0"/>
        <v>34.003</v>
      </c>
      <c r="E26" s="23">
        <f t="shared" si="0"/>
        <v>22.44</v>
      </c>
      <c r="F26" s="23">
        <f t="shared" si="0"/>
        <v>162.49019999999999</v>
      </c>
      <c r="G26" s="24">
        <f t="shared" si="0"/>
        <v>997.38</v>
      </c>
      <c r="H26" s="42">
        <f t="shared" ref="H26:O27" si="1">H15+H25</f>
        <v>0.40200000000000002</v>
      </c>
      <c r="I26" s="56">
        <f t="shared" si="1"/>
        <v>38.273200000000003</v>
      </c>
      <c r="J26" s="42">
        <f t="shared" si="1"/>
        <v>7.46E-2</v>
      </c>
      <c r="K26" s="42">
        <f t="shared" si="1"/>
        <v>0.24239999999999995</v>
      </c>
      <c r="L26" s="42">
        <f t="shared" si="1"/>
        <v>134.12900000000002</v>
      </c>
      <c r="M26" s="42">
        <f t="shared" si="1"/>
        <v>388.47699999999998</v>
      </c>
      <c r="N26" s="42">
        <f t="shared" si="1"/>
        <v>183.0104</v>
      </c>
      <c r="O26" s="42">
        <f t="shared" si="1"/>
        <v>12.673599999999999</v>
      </c>
    </row>
    <row r="27" spans="1:15" x14ac:dyDescent="0.25">
      <c r="B27" s="67" t="s">
        <v>33</v>
      </c>
      <c r="C27" s="31">
        <f>C16+C26</f>
        <v>1557</v>
      </c>
      <c r="D27" s="31">
        <f t="shared" ref="D27:G27" si="2">D16+D26</f>
        <v>64.793000000000006</v>
      </c>
      <c r="E27" s="31">
        <f t="shared" si="2"/>
        <v>42.123000000000005</v>
      </c>
      <c r="F27" s="31">
        <f t="shared" si="2"/>
        <v>243.54819999999998</v>
      </c>
      <c r="G27" s="55">
        <f t="shared" si="2"/>
        <v>1629.3799979999999</v>
      </c>
      <c r="H27" s="101">
        <f t="shared" si="1"/>
        <v>0.66</v>
      </c>
      <c r="I27" s="102">
        <f t="shared" si="1"/>
        <v>70.123199999999997</v>
      </c>
      <c r="J27" s="102">
        <f t="shared" si="1"/>
        <v>0.1946</v>
      </c>
      <c r="K27" s="102">
        <f t="shared" si="1"/>
        <v>0.51639999999999997</v>
      </c>
      <c r="L27" s="102">
        <f t="shared" si="1"/>
        <v>252.96000000000004</v>
      </c>
      <c r="M27" s="102">
        <f t="shared" si="1"/>
        <v>716.57799999999997</v>
      </c>
      <c r="N27" s="102">
        <f t="shared" si="1"/>
        <v>260.96140000000003</v>
      </c>
      <c r="O27" s="102">
        <f t="shared" si="1"/>
        <v>17.506599999999999</v>
      </c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scale="9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3" zoomScaleNormal="100" workbookViewId="0">
      <selection activeCell="G29" sqref="G29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8.75" x14ac:dyDescent="0.3">
      <c r="A1" s="77"/>
      <c r="B1" s="77"/>
      <c r="C1" s="77"/>
      <c r="D1" s="77"/>
      <c r="E1" s="77"/>
      <c r="F1" s="78" t="s">
        <v>0</v>
      </c>
      <c r="G1" s="79"/>
      <c r="H1" s="77"/>
      <c r="I1" s="77"/>
      <c r="J1" s="77"/>
      <c r="K1" s="77"/>
      <c r="L1" s="77"/>
      <c r="M1" s="77"/>
      <c r="N1" s="77"/>
      <c r="O1" s="77"/>
    </row>
    <row r="2" spans="1:15" x14ac:dyDescent="0.25">
      <c r="A2" s="77" t="s">
        <v>41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x14ac:dyDescent="0.25">
      <c r="A3" s="77" t="s">
        <v>52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ht="15.75" x14ac:dyDescent="0.25">
      <c r="A4" s="77" t="s">
        <v>3</v>
      </c>
      <c r="B4" s="6" t="s">
        <v>99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x14ac:dyDescent="0.25">
      <c r="A5" s="77" t="s">
        <v>58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15" ht="45" customHeight="1" x14ac:dyDescent="0.25">
      <c r="A6" s="114" t="s">
        <v>5</v>
      </c>
      <c r="B6" s="115" t="s">
        <v>6</v>
      </c>
      <c r="C6" s="114" t="s">
        <v>7</v>
      </c>
      <c r="D6" s="111" t="s">
        <v>8</v>
      </c>
      <c r="E6" s="112"/>
      <c r="F6" s="113"/>
      <c r="G6" s="117" t="s">
        <v>12</v>
      </c>
      <c r="H6" s="111" t="s">
        <v>13</v>
      </c>
      <c r="I6" s="112"/>
      <c r="J6" s="112"/>
      <c r="K6" s="113"/>
      <c r="L6" s="111" t="s">
        <v>18</v>
      </c>
      <c r="M6" s="112"/>
      <c r="N6" s="112"/>
      <c r="O6" s="113"/>
    </row>
    <row r="7" spans="1:15" x14ac:dyDescent="0.25">
      <c r="A7" s="114"/>
      <c r="B7" s="116"/>
      <c r="C7" s="114"/>
      <c r="D7" s="11" t="s">
        <v>9</v>
      </c>
      <c r="E7" s="11" t="s">
        <v>10</v>
      </c>
      <c r="F7" s="11" t="s">
        <v>11</v>
      </c>
      <c r="G7" s="118"/>
      <c r="H7" s="11" t="s">
        <v>14</v>
      </c>
      <c r="I7" s="74" t="s">
        <v>15</v>
      </c>
      <c r="J7" s="11" t="s">
        <v>16</v>
      </c>
      <c r="K7" s="11" t="s">
        <v>17</v>
      </c>
      <c r="L7" s="11" t="s">
        <v>19</v>
      </c>
      <c r="M7" s="11" t="s">
        <v>20</v>
      </c>
      <c r="N7" s="11" t="s">
        <v>21</v>
      </c>
      <c r="O7" s="11" t="s">
        <v>22</v>
      </c>
    </row>
    <row r="8" spans="1:15" ht="15.75" x14ac:dyDescent="0.25">
      <c r="A8" s="11"/>
      <c r="B8" s="80" t="s">
        <v>28</v>
      </c>
      <c r="C8" s="11"/>
      <c r="D8" s="33"/>
      <c r="E8" s="33"/>
      <c r="F8" s="33"/>
      <c r="G8" s="74"/>
      <c r="H8" s="33"/>
      <c r="I8" s="34"/>
      <c r="J8" s="33"/>
      <c r="K8" s="33"/>
      <c r="L8" s="33"/>
      <c r="M8" s="33"/>
      <c r="N8" s="33"/>
      <c r="O8" s="33"/>
    </row>
    <row r="9" spans="1:15" x14ac:dyDescent="0.25">
      <c r="A9" s="9">
        <v>76</v>
      </c>
      <c r="B9" s="20" t="s">
        <v>89</v>
      </c>
      <c r="C9" s="9">
        <v>100</v>
      </c>
      <c r="D9" s="9">
        <f>C9*0.008</f>
        <v>0.8</v>
      </c>
      <c r="E9" s="9">
        <f>C9*0.001</f>
        <v>0.1</v>
      </c>
      <c r="F9" s="9">
        <f>C9*0.016</f>
        <v>1.6</v>
      </c>
      <c r="G9" s="18">
        <f>C9*0.1333333</f>
        <v>13.333329999999998</v>
      </c>
      <c r="H9" s="17">
        <v>0</v>
      </c>
      <c r="I9" s="19">
        <f>C9*0.05</f>
        <v>5</v>
      </c>
      <c r="J9" s="17">
        <v>0</v>
      </c>
      <c r="K9" s="17">
        <v>0</v>
      </c>
      <c r="L9" s="17">
        <f>C9*0.23</f>
        <v>23</v>
      </c>
      <c r="M9" s="17">
        <f>C9*0.24</f>
        <v>24</v>
      </c>
      <c r="N9" s="17">
        <f>C9*0.14</f>
        <v>14.000000000000002</v>
      </c>
      <c r="O9" s="17">
        <f>C9*0.006</f>
        <v>0.6</v>
      </c>
    </row>
    <row r="10" spans="1:15" ht="39" x14ac:dyDescent="0.25">
      <c r="A10" s="11">
        <v>294</v>
      </c>
      <c r="B10" s="54" t="s">
        <v>73</v>
      </c>
      <c r="C10" s="11">
        <v>100</v>
      </c>
      <c r="D10" s="11">
        <f>C10*0.25</f>
        <v>25</v>
      </c>
      <c r="E10" s="11">
        <f>C10*0.1432</f>
        <v>14.32</v>
      </c>
      <c r="F10" s="11">
        <f>C10*0.1642</f>
        <v>16.420000000000002</v>
      </c>
      <c r="G10" s="74">
        <f>C10*2.96</f>
        <v>296</v>
      </c>
      <c r="H10" s="33">
        <f>C10*0.0012</f>
        <v>0.12</v>
      </c>
      <c r="I10" s="34">
        <v>0</v>
      </c>
      <c r="J10" s="33">
        <f>C10*0.001</f>
        <v>0.1</v>
      </c>
      <c r="K10" s="33">
        <f>C10*0.0016</f>
        <v>0.16</v>
      </c>
      <c r="L10" s="33">
        <f>C10*0.3054</f>
        <v>30.54</v>
      </c>
      <c r="M10" s="33">
        <f>C10*2.3024</f>
        <v>230.24</v>
      </c>
      <c r="N10" s="33">
        <f>C10*0.3314</f>
        <v>33.14</v>
      </c>
      <c r="O10" s="33">
        <f>C10*0.0242</f>
        <v>2.42</v>
      </c>
    </row>
    <row r="11" spans="1:15" ht="30" x14ac:dyDescent="0.25">
      <c r="A11" s="11">
        <v>312</v>
      </c>
      <c r="B11" s="69" t="s">
        <v>30</v>
      </c>
      <c r="C11" s="11">
        <v>180</v>
      </c>
      <c r="D11" s="11">
        <f>C11*0.0216</f>
        <v>3.8880000000000003</v>
      </c>
      <c r="E11" s="11">
        <f>C11*0.0373</f>
        <v>6.7140000000000004</v>
      </c>
      <c r="F11" s="11">
        <f>C11*0.147</f>
        <v>26.459999999999997</v>
      </c>
      <c r="G11" s="74">
        <f>C11*1.04</f>
        <v>187.20000000000002</v>
      </c>
      <c r="H11" s="33">
        <f>C11*0.001</f>
        <v>0.18</v>
      </c>
      <c r="I11" s="34">
        <f>C11*0.173</f>
        <v>31.139999999999997</v>
      </c>
      <c r="J11" s="33">
        <f>C11*0.0002</f>
        <v>3.6000000000000004E-2</v>
      </c>
      <c r="K11" s="33">
        <f>C11*0.0008</f>
        <v>0.14400000000000002</v>
      </c>
      <c r="L11" s="33">
        <f>C11*0.4633</f>
        <v>83.393999999999991</v>
      </c>
      <c r="M11" s="33">
        <f>C11*0.6447</f>
        <v>116.04600000000001</v>
      </c>
      <c r="N11" s="33">
        <f>C11*0.2299</f>
        <v>41.381999999999998</v>
      </c>
      <c r="O11" s="33">
        <f>C11*0.0093</f>
        <v>1.6739999999999999</v>
      </c>
    </row>
    <row r="12" spans="1:15" x14ac:dyDescent="0.25">
      <c r="A12" s="11">
        <v>377</v>
      </c>
      <c r="B12" s="64" t="s">
        <v>77</v>
      </c>
      <c r="C12" s="33">
        <v>222</v>
      </c>
      <c r="D12" s="33">
        <v>0.26</v>
      </c>
      <c r="E12" s="11">
        <v>0.05</v>
      </c>
      <c r="F12" s="11">
        <v>15.22</v>
      </c>
      <c r="G12" s="93">
        <v>59</v>
      </c>
      <c r="H12" s="33">
        <v>0</v>
      </c>
      <c r="I12" s="34">
        <v>2.9</v>
      </c>
      <c r="J12" s="33">
        <v>0</v>
      </c>
      <c r="K12" s="33">
        <v>0.01</v>
      </c>
      <c r="L12" s="33">
        <v>8.0500000000000007</v>
      </c>
      <c r="M12" s="33">
        <v>9.7799999999999994</v>
      </c>
      <c r="N12" s="33">
        <v>5.24</v>
      </c>
      <c r="O12" s="33">
        <v>0.9</v>
      </c>
    </row>
    <row r="13" spans="1:15" x14ac:dyDescent="0.25">
      <c r="A13" s="11"/>
      <c r="B13" s="20" t="s">
        <v>26</v>
      </c>
      <c r="C13" s="9">
        <v>35</v>
      </c>
      <c r="D13" s="9">
        <v>2.31</v>
      </c>
      <c r="E13" s="9">
        <v>0.39</v>
      </c>
      <c r="F13" s="9">
        <v>14.35</v>
      </c>
      <c r="G13" s="18">
        <v>72.099999999999994</v>
      </c>
      <c r="H13" s="33"/>
      <c r="I13" s="34"/>
      <c r="J13" s="33"/>
      <c r="K13" s="33"/>
      <c r="L13" s="33"/>
      <c r="M13" s="33"/>
      <c r="N13" s="33"/>
      <c r="O13" s="33"/>
    </row>
    <row r="14" spans="1:15" x14ac:dyDescent="0.25">
      <c r="A14" s="11"/>
      <c r="B14" s="20" t="s">
        <v>31</v>
      </c>
      <c r="C14" s="9">
        <v>30</v>
      </c>
      <c r="D14" s="17">
        <v>2</v>
      </c>
      <c r="E14" s="17">
        <v>0.7</v>
      </c>
      <c r="F14" s="17">
        <v>13.7</v>
      </c>
      <c r="G14" s="19">
        <v>70.5</v>
      </c>
      <c r="H14" s="33"/>
      <c r="I14" s="34"/>
      <c r="J14" s="33"/>
      <c r="K14" s="33"/>
      <c r="L14" s="33"/>
      <c r="M14" s="33"/>
      <c r="N14" s="33"/>
      <c r="O14" s="33"/>
    </row>
    <row r="15" spans="1:15" x14ac:dyDescent="0.25">
      <c r="A15" s="11"/>
      <c r="B15" s="76"/>
      <c r="C15" s="11"/>
      <c r="D15" s="11"/>
      <c r="E15" s="11"/>
      <c r="F15" s="11"/>
      <c r="G15" s="74"/>
      <c r="H15" s="42"/>
      <c r="I15" s="56"/>
      <c r="J15" s="42"/>
      <c r="K15" s="42"/>
      <c r="L15" s="42"/>
      <c r="M15" s="42"/>
      <c r="N15" s="42"/>
      <c r="O15" s="42"/>
    </row>
    <row r="16" spans="1:15" x14ac:dyDescent="0.25">
      <c r="A16" s="11"/>
      <c r="B16" s="67" t="s">
        <v>34</v>
      </c>
      <c r="C16" s="31">
        <f>SUM(C9:C15)</f>
        <v>667</v>
      </c>
      <c r="D16" s="31">
        <f>SUM(D9:D15)</f>
        <v>34.258000000000003</v>
      </c>
      <c r="E16" s="31">
        <f>SUM(E9:E15)</f>
        <v>22.274000000000001</v>
      </c>
      <c r="F16" s="31">
        <f>SUM(F9:F15)</f>
        <v>87.75</v>
      </c>
      <c r="G16" s="55">
        <f>SUM(G9:G15)</f>
        <v>698.13333</v>
      </c>
      <c r="H16" s="42">
        <v>0.3</v>
      </c>
      <c r="I16" s="56">
        <v>39.04</v>
      </c>
      <c r="J16" s="42">
        <v>0.13600000000000001</v>
      </c>
      <c r="K16" s="42">
        <v>0.314</v>
      </c>
      <c r="L16" s="42">
        <v>144.98400000000001</v>
      </c>
      <c r="M16" s="42">
        <v>380.06599999999997</v>
      </c>
      <c r="N16" s="42">
        <v>93.762</v>
      </c>
      <c r="O16" s="42">
        <v>5.5940000000000003</v>
      </c>
    </row>
    <row r="17" spans="1:15" x14ac:dyDescent="0.25">
      <c r="A17" s="11" t="s">
        <v>100</v>
      </c>
      <c r="B17" s="31" t="s">
        <v>29</v>
      </c>
      <c r="C17" s="11"/>
      <c r="D17" s="11"/>
      <c r="E17" s="11"/>
      <c r="F17" s="11"/>
      <c r="G17" s="74"/>
      <c r="H17" s="33"/>
      <c r="I17" s="34"/>
      <c r="J17" s="33"/>
      <c r="K17" s="33"/>
      <c r="L17" s="33"/>
      <c r="M17" s="33"/>
      <c r="N17" s="33"/>
      <c r="O17" s="33"/>
    </row>
    <row r="18" spans="1:15" ht="45" x14ac:dyDescent="0.25">
      <c r="A18" s="11">
        <v>96</v>
      </c>
      <c r="B18" s="21" t="s">
        <v>101</v>
      </c>
      <c r="C18" s="11">
        <v>100</v>
      </c>
      <c r="D18" s="11">
        <f>C18*0.03</f>
        <v>3</v>
      </c>
      <c r="E18" s="11">
        <f>C18*0.064</f>
        <v>6.4</v>
      </c>
      <c r="F18" s="11">
        <f>C18*0.24</f>
        <v>24</v>
      </c>
      <c r="G18" s="74">
        <f>C18*1.64</f>
        <v>164</v>
      </c>
      <c r="H18" s="33">
        <f>C19*0.0004</f>
        <v>0.10200000000000001</v>
      </c>
      <c r="I18" s="34">
        <f>C19*0.06904</f>
        <v>17.6052</v>
      </c>
      <c r="J18" s="33">
        <f>C19*0.00012</f>
        <v>3.0600000000000002E-2</v>
      </c>
      <c r="K18" s="33">
        <f>C19*0.00028</f>
        <v>7.1399999999999991E-2</v>
      </c>
      <c r="L18" s="33">
        <f>C19*0.0978</f>
        <v>24.939</v>
      </c>
      <c r="M18" s="33">
        <f>C19*0.2794</f>
        <v>71.247</v>
      </c>
      <c r="N18" s="33">
        <f>C19*0.10988</f>
        <v>28.019400000000001</v>
      </c>
      <c r="O18" s="33">
        <f>C19*0.00392</f>
        <v>0.99959999999999993</v>
      </c>
    </row>
    <row r="19" spans="1:15" ht="39.75" customHeight="1" x14ac:dyDescent="0.25">
      <c r="A19" s="90">
        <v>260</v>
      </c>
      <c r="B19" s="54" t="s">
        <v>72</v>
      </c>
      <c r="C19" s="11">
        <v>255</v>
      </c>
      <c r="D19" s="11">
        <f>C19*0.0096</f>
        <v>2.448</v>
      </c>
      <c r="E19" s="11">
        <f>C19*0.022</f>
        <v>5.6099999999999994</v>
      </c>
      <c r="F19" s="11">
        <f>C19*0.07144</f>
        <v>18.217200000000002</v>
      </c>
      <c r="G19" s="74">
        <f>C19*0.536</f>
        <v>136.68</v>
      </c>
      <c r="H19" s="33">
        <v>0.1</v>
      </c>
      <c r="I19" s="34">
        <v>3.12</v>
      </c>
      <c r="J19" s="33">
        <v>0.02</v>
      </c>
      <c r="K19" s="33">
        <v>0.09</v>
      </c>
      <c r="L19" s="33">
        <v>16.93</v>
      </c>
      <c r="M19" s="33">
        <v>178.64</v>
      </c>
      <c r="N19" s="33">
        <v>25.65</v>
      </c>
      <c r="O19" s="33">
        <v>8.85</v>
      </c>
    </row>
    <row r="20" spans="1:15" ht="42.75" x14ac:dyDescent="0.25">
      <c r="A20" s="12">
        <v>203</v>
      </c>
      <c r="B20" s="37" t="s">
        <v>90</v>
      </c>
      <c r="C20" s="92">
        <v>100</v>
      </c>
      <c r="D20" s="81">
        <v>16.149999999999999</v>
      </c>
      <c r="E20" s="33">
        <v>7.02</v>
      </c>
      <c r="F20" s="33">
        <v>4.79</v>
      </c>
      <c r="G20" s="34">
        <v>147</v>
      </c>
      <c r="H20" s="17">
        <f>C21*0.0008</f>
        <v>0.14400000000000002</v>
      </c>
      <c r="I20" s="19">
        <v>0</v>
      </c>
      <c r="J20" s="17">
        <f>C21*0.0002</f>
        <v>3.6000000000000004E-2</v>
      </c>
      <c r="K20" s="17">
        <f>C21*0.0003</f>
        <v>5.3999999999999992E-2</v>
      </c>
      <c r="L20" s="17">
        <f>C21*0.273</f>
        <v>49.14</v>
      </c>
      <c r="M20" s="17">
        <f>C21*0.4004</f>
        <v>72.072000000000003</v>
      </c>
      <c r="N20" s="17">
        <f>C21*0.1639</f>
        <v>29.501999999999999</v>
      </c>
      <c r="O20" s="17">
        <f>C21*0.0066</f>
        <v>1.1879999999999999</v>
      </c>
    </row>
    <row r="21" spans="1:15" ht="30" x14ac:dyDescent="0.25">
      <c r="A21" s="11">
        <v>342</v>
      </c>
      <c r="B21" s="21" t="s">
        <v>24</v>
      </c>
      <c r="C21" s="9">
        <v>180</v>
      </c>
      <c r="D21" s="9">
        <f>C21*0.0365</f>
        <v>6.5699999999999994</v>
      </c>
      <c r="E21" s="9">
        <f>C21*0.0332</f>
        <v>5.976</v>
      </c>
      <c r="F21" s="9">
        <f>C21*0.2325</f>
        <v>41.85</v>
      </c>
      <c r="G21" s="18">
        <f>C21*1.41</f>
        <v>253.79999999999998</v>
      </c>
      <c r="H21" s="33">
        <v>0.02</v>
      </c>
      <c r="I21" s="34">
        <v>1</v>
      </c>
      <c r="J21" s="33">
        <v>0</v>
      </c>
      <c r="K21" s="33">
        <v>0.05</v>
      </c>
      <c r="L21" s="33">
        <v>40.200000000000003</v>
      </c>
      <c r="M21" s="33">
        <v>36.5</v>
      </c>
      <c r="N21" s="33">
        <v>26.25</v>
      </c>
      <c r="O21" s="33">
        <v>0.83</v>
      </c>
    </row>
    <row r="22" spans="1:15" ht="28.5" x14ac:dyDescent="0.25">
      <c r="A22" s="11">
        <v>338</v>
      </c>
      <c r="B22" s="21" t="s">
        <v>43</v>
      </c>
      <c r="C22" s="11">
        <v>200</v>
      </c>
      <c r="D22" s="11">
        <v>1.3</v>
      </c>
      <c r="E22" s="11">
        <v>0</v>
      </c>
      <c r="F22" s="11">
        <v>23.73</v>
      </c>
      <c r="G22" s="74">
        <v>96</v>
      </c>
      <c r="H22" s="33">
        <v>0.08</v>
      </c>
      <c r="I22" s="34">
        <v>20</v>
      </c>
      <c r="J22" s="33">
        <v>0</v>
      </c>
      <c r="K22" s="33">
        <v>0</v>
      </c>
      <c r="L22" s="33">
        <v>16</v>
      </c>
      <c r="M22" s="33">
        <v>56</v>
      </c>
      <c r="N22" s="33">
        <v>84</v>
      </c>
      <c r="O22" s="33">
        <v>1.2</v>
      </c>
    </row>
    <row r="23" spans="1:15" x14ac:dyDescent="0.25">
      <c r="A23" s="11"/>
      <c r="B23" s="4" t="s">
        <v>44</v>
      </c>
      <c r="C23" s="11">
        <v>200</v>
      </c>
      <c r="D23" s="33">
        <v>3</v>
      </c>
      <c r="E23" s="33">
        <v>1</v>
      </c>
      <c r="F23" s="33">
        <v>42</v>
      </c>
      <c r="G23" s="34">
        <v>192</v>
      </c>
      <c r="H23" s="33"/>
      <c r="I23" s="34"/>
      <c r="J23" s="33"/>
      <c r="K23" s="33"/>
      <c r="L23" s="33"/>
      <c r="M23" s="33"/>
      <c r="N23" s="33"/>
      <c r="O23" s="33"/>
    </row>
    <row r="24" spans="1:15" x14ac:dyDescent="0.25">
      <c r="A24" s="11"/>
      <c r="B24" s="20" t="s">
        <v>26</v>
      </c>
      <c r="C24" s="9">
        <v>35</v>
      </c>
      <c r="D24" s="9">
        <v>2.31</v>
      </c>
      <c r="E24" s="9">
        <v>0.39</v>
      </c>
      <c r="F24" s="9">
        <v>14.35</v>
      </c>
      <c r="G24" s="18">
        <v>72.099999999999994</v>
      </c>
      <c r="H24" s="33"/>
      <c r="I24" s="34"/>
      <c r="J24" s="33"/>
      <c r="K24" s="33"/>
      <c r="L24" s="33"/>
      <c r="M24" s="33"/>
      <c r="N24" s="33"/>
      <c r="O24" s="33"/>
    </row>
    <row r="25" spans="1:15" x14ac:dyDescent="0.25">
      <c r="A25" s="11"/>
      <c r="B25" s="20" t="s">
        <v>31</v>
      </c>
      <c r="C25" s="9">
        <v>30</v>
      </c>
      <c r="D25" s="9">
        <v>2</v>
      </c>
      <c r="E25" s="9">
        <v>0.7</v>
      </c>
      <c r="F25" s="9">
        <v>13.7</v>
      </c>
      <c r="G25" s="18">
        <v>70.5</v>
      </c>
      <c r="H25" s="33">
        <f t="shared" ref="D25:O26" si="0">SUM(H17:H24)</f>
        <v>0.44600000000000006</v>
      </c>
      <c r="I25" s="34">
        <f t="shared" si="0"/>
        <v>41.725200000000001</v>
      </c>
      <c r="J25" s="33">
        <f t="shared" si="0"/>
        <v>8.660000000000001E-2</v>
      </c>
      <c r="K25" s="33">
        <f t="shared" si="0"/>
        <v>0.26539999999999997</v>
      </c>
      <c r="L25" s="33">
        <f t="shared" si="0"/>
        <v>147.209</v>
      </c>
      <c r="M25" s="33">
        <f t="shared" si="0"/>
        <v>414.459</v>
      </c>
      <c r="N25" s="33">
        <f t="shared" si="0"/>
        <v>193.42140000000001</v>
      </c>
      <c r="O25" s="33">
        <f t="shared" si="0"/>
        <v>13.067599999999999</v>
      </c>
    </row>
    <row r="26" spans="1:15" x14ac:dyDescent="0.25">
      <c r="A26" s="11"/>
      <c r="B26" s="67" t="s">
        <v>34</v>
      </c>
      <c r="C26" s="23">
        <f>SUM(C18:C25)</f>
        <v>1100</v>
      </c>
      <c r="D26" s="23">
        <f t="shared" si="0"/>
        <v>36.778000000000006</v>
      </c>
      <c r="E26" s="23">
        <f t="shared" si="0"/>
        <v>27.096</v>
      </c>
      <c r="F26" s="23">
        <f t="shared" si="0"/>
        <v>182.63719999999998</v>
      </c>
      <c r="G26" s="24">
        <f t="shared" si="0"/>
        <v>1132.08</v>
      </c>
      <c r="H26" s="42">
        <f t="shared" ref="D26:O27" si="1">H15+H25</f>
        <v>0.44600000000000006</v>
      </c>
      <c r="I26" s="56">
        <f t="shared" si="1"/>
        <v>41.725200000000001</v>
      </c>
      <c r="J26" s="42">
        <f t="shared" si="1"/>
        <v>8.660000000000001E-2</v>
      </c>
      <c r="K26" s="42">
        <f t="shared" si="1"/>
        <v>0.26539999999999997</v>
      </c>
      <c r="L26" s="42">
        <f t="shared" si="1"/>
        <v>147.209</v>
      </c>
      <c r="M26" s="42">
        <f t="shared" si="1"/>
        <v>414.459</v>
      </c>
      <c r="N26" s="42">
        <f t="shared" si="1"/>
        <v>193.42140000000001</v>
      </c>
      <c r="O26" s="42">
        <f t="shared" si="1"/>
        <v>13.067599999999999</v>
      </c>
    </row>
    <row r="27" spans="1:15" x14ac:dyDescent="0.25">
      <c r="B27" s="67" t="s">
        <v>33</v>
      </c>
      <c r="C27" s="31">
        <f>C16+C26</f>
        <v>1767</v>
      </c>
      <c r="D27" s="31">
        <f t="shared" si="1"/>
        <v>71.036000000000001</v>
      </c>
      <c r="E27" s="31">
        <f t="shared" si="1"/>
        <v>49.370000000000005</v>
      </c>
      <c r="F27" s="31">
        <f t="shared" si="1"/>
        <v>270.38720000000001</v>
      </c>
      <c r="G27" s="55">
        <f t="shared" si="1"/>
        <v>1830.21333</v>
      </c>
      <c r="H27" s="102">
        <f t="shared" ref="H27:O27" si="2">H16+H26</f>
        <v>0.746</v>
      </c>
      <c r="I27" s="102">
        <f t="shared" si="2"/>
        <v>80.765199999999993</v>
      </c>
      <c r="J27" s="102">
        <f t="shared" si="2"/>
        <v>0.22260000000000002</v>
      </c>
      <c r="K27" s="102">
        <f t="shared" si="2"/>
        <v>0.57939999999999992</v>
      </c>
      <c r="L27" s="102">
        <f t="shared" si="2"/>
        <v>292.19299999999998</v>
      </c>
      <c r="M27" s="102">
        <f t="shared" si="2"/>
        <v>794.52499999999998</v>
      </c>
      <c r="N27" s="102">
        <f t="shared" si="2"/>
        <v>287.18340000000001</v>
      </c>
      <c r="O27" s="102">
        <f t="shared" si="2"/>
        <v>18.6616</v>
      </c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scale="9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10" zoomScaleNormal="100" workbookViewId="0">
      <selection activeCell="A10" sqref="A10:O10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8.75" x14ac:dyDescent="0.3">
      <c r="A1" s="5"/>
      <c r="B1" s="5"/>
      <c r="C1" s="5"/>
      <c r="D1" s="5"/>
      <c r="E1" s="5"/>
      <c r="F1" s="7" t="s">
        <v>0</v>
      </c>
      <c r="G1" s="47"/>
      <c r="H1" s="8"/>
      <c r="I1" s="5"/>
      <c r="J1" s="5"/>
      <c r="K1" s="5"/>
      <c r="L1" s="5"/>
      <c r="M1" s="5"/>
      <c r="N1" s="5"/>
      <c r="O1" s="5"/>
    </row>
    <row r="2" spans="1:15" x14ac:dyDescent="0.25">
      <c r="A2" s="5" t="s">
        <v>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75" x14ac:dyDescent="0.25">
      <c r="A4" s="5" t="s">
        <v>3</v>
      </c>
      <c r="B4" s="6" t="s">
        <v>99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45" customHeight="1" x14ac:dyDescent="0.25">
      <c r="A6" s="114" t="s">
        <v>5</v>
      </c>
      <c r="B6" s="115" t="s">
        <v>6</v>
      </c>
      <c r="C6" s="114" t="s">
        <v>7</v>
      </c>
      <c r="D6" s="111" t="s">
        <v>8</v>
      </c>
      <c r="E6" s="112"/>
      <c r="F6" s="113"/>
      <c r="G6" s="117" t="s">
        <v>12</v>
      </c>
      <c r="H6" s="111" t="s">
        <v>13</v>
      </c>
      <c r="I6" s="112"/>
      <c r="J6" s="112"/>
      <c r="K6" s="113"/>
      <c r="L6" s="111" t="s">
        <v>18</v>
      </c>
      <c r="M6" s="112"/>
      <c r="N6" s="112"/>
      <c r="O6" s="113"/>
    </row>
    <row r="7" spans="1:15" x14ac:dyDescent="0.25">
      <c r="A7" s="114"/>
      <c r="B7" s="116"/>
      <c r="C7" s="114"/>
      <c r="D7" s="11" t="s">
        <v>9</v>
      </c>
      <c r="E7" s="11" t="s">
        <v>10</v>
      </c>
      <c r="F7" s="11" t="s">
        <v>11</v>
      </c>
      <c r="G7" s="118"/>
      <c r="H7" s="11" t="s">
        <v>14</v>
      </c>
      <c r="I7" s="74" t="s">
        <v>15</v>
      </c>
      <c r="J7" s="11" t="s">
        <v>16</v>
      </c>
      <c r="K7" s="11" t="s">
        <v>17</v>
      </c>
      <c r="L7" s="11" t="s">
        <v>19</v>
      </c>
      <c r="M7" s="11" t="s">
        <v>20</v>
      </c>
      <c r="N7" s="11" t="s">
        <v>21</v>
      </c>
      <c r="O7" s="11" t="s">
        <v>22</v>
      </c>
    </row>
    <row r="8" spans="1:15" x14ac:dyDescent="0.25">
      <c r="A8" s="11"/>
      <c r="B8" s="31" t="s">
        <v>28</v>
      </c>
      <c r="C8" s="11"/>
      <c r="D8" s="33"/>
      <c r="E8" s="33"/>
      <c r="F8" s="33"/>
      <c r="G8" s="74"/>
      <c r="H8" s="33"/>
      <c r="I8" s="34"/>
      <c r="J8" s="33"/>
      <c r="K8" s="33"/>
      <c r="L8" s="33"/>
      <c r="M8" s="33"/>
      <c r="N8" s="33"/>
      <c r="O8" s="33"/>
    </row>
    <row r="9" spans="1:15" ht="28.5" x14ac:dyDescent="0.25">
      <c r="A9" s="12">
        <v>2</v>
      </c>
      <c r="B9" s="21" t="s">
        <v>66</v>
      </c>
      <c r="C9" s="11">
        <v>55</v>
      </c>
      <c r="D9" s="11">
        <v>5.3</v>
      </c>
      <c r="E9" s="11">
        <v>8.26</v>
      </c>
      <c r="F9" s="11">
        <v>14.82</v>
      </c>
      <c r="G9" s="74">
        <v>155</v>
      </c>
      <c r="H9" s="33">
        <v>0.09</v>
      </c>
      <c r="I9" s="34">
        <v>0</v>
      </c>
      <c r="J9" s="33">
        <v>0</v>
      </c>
      <c r="K9" s="33">
        <v>0.12</v>
      </c>
      <c r="L9" s="33">
        <v>11.2</v>
      </c>
      <c r="M9" s="33">
        <v>59.9</v>
      </c>
      <c r="N9" s="33">
        <v>9.1999999999999993</v>
      </c>
      <c r="O9" s="33">
        <v>0.77</v>
      </c>
    </row>
    <row r="10" spans="1:15" ht="26.25" x14ac:dyDescent="0.25">
      <c r="A10" s="11">
        <v>210</v>
      </c>
      <c r="B10" s="27" t="s">
        <v>40</v>
      </c>
      <c r="C10" s="33">
        <v>174</v>
      </c>
      <c r="D10" s="33">
        <f>C10*0.1003636</f>
        <v>17.463266399999998</v>
      </c>
      <c r="E10" s="33">
        <f>C10*0.1672727</f>
        <v>29.105449799999999</v>
      </c>
      <c r="F10" s="33">
        <f>C10*0.01854545</f>
        <v>3.2269083000000003</v>
      </c>
      <c r="G10" s="34">
        <f>C10*1.981818</f>
        <v>344.83633200000003</v>
      </c>
      <c r="H10" s="33">
        <f>C10*0.00054545</f>
        <v>9.4908299999999987E-2</v>
      </c>
      <c r="I10" s="34">
        <f>C10*0.003454545</f>
        <v>0.60109082999999996</v>
      </c>
      <c r="J10" s="33">
        <f>C10*0.002363636</f>
        <v>0.41127266400000001</v>
      </c>
      <c r="K10" s="33">
        <f>C10*0.00363636</f>
        <v>0.63272664000000001</v>
      </c>
      <c r="L10" s="33">
        <f>C10*0.75818181</f>
        <v>131.92363494</v>
      </c>
      <c r="M10" s="33">
        <f>C10*1.6590909</f>
        <v>288.68181659999999</v>
      </c>
      <c r="N10" s="33">
        <f>C10*0.12690909</f>
        <v>22.08218166</v>
      </c>
      <c r="O10" s="33">
        <f>C10*0.0185454545</f>
        <v>3.2269090829999998</v>
      </c>
    </row>
    <row r="11" spans="1:15" x14ac:dyDescent="0.25">
      <c r="A11" s="9">
        <v>386</v>
      </c>
      <c r="B11" s="20" t="s">
        <v>63</v>
      </c>
      <c r="C11" s="9">
        <v>200</v>
      </c>
      <c r="D11" s="17">
        <v>3.4</v>
      </c>
      <c r="E11" s="17">
        <v>2.8</v>
      </c>
      <c r="F11" s="17">
        <v>29.8</v>
      </c>
      <c r="G11" s="19">
        <v>105</v>
      </c>
      <c r="H11" s="33"/>
      <c r="I11" s="34"/>
      <c r="J11" s="33"/>
      <c r="K11" s="33"/>
      <c r="L11" s="33"/>
      <c r="M11" s="33"/>
      <c r="N11" s="33"/>
      <c r="O11" s="33"/>
    </row>
    <row r="12" spans="1:15" x14ac:dyDescent="0.25">
      <c r="A12" s="9">
        <v>376</v>
      </c>
      <c r="B12" s="20" t="s">
        <v>37</v>
      </c>
      <c r="C12" s="9">
        <v>200</v>
      </c>
      <c r="D12" s="17">
        <v>1.54</v>
      </c>
      <c r="E12" s="17">
        <v>1.63</v>
      </c>
      <c r="F12" s="17">
        <v>9.36</v>
      </c>
      <c r="G12" s="19">
        <v>56</v>
      </c>
      <c r="H12" s="33">
        <v>0.02</v>
      </c>
      <c r="I12" s="34">
        <v>0.72</v>
      </c>
      <c r="J12" s="33">
        <v>0.01</v>
      </c>
      <c r="K12" s="33">
        <v>0.08</v>
      </c>
      <c r="L12" s="33">
        <v>63.6</v>
      </c>
      <c r="M12" s="33">
        <v>50.76</v>
      </c>
      <c r="N12" s="33">
        <v>10.08</v>
      </c>
      <c r="O12" s="33">
        <v>0.62</v>
      </c>
    </row>
    <row r="13" spans="1:15" ht="36.75" customHeight="1" x14ac:dyDescent="0.25">
      <c r="A13" s="11">
        <v>424</v>
      </c>
      <c r="B13" s="21" t="s">
        <v>108</v>
      </c>
      <c r="C13" s="11">
        <v>100</v>
      </c>
      <c r="D13" s="33">
        <v>9.2200000000000006</v>
      </c>
      <c r="E13" s="33">
        <v>5.48</v>
      </c>
      <c r="F13" s="33">
        <v>29.18</v>
      </c>
      <c r="G13" s="34">
        <v>202</v>
      </c>
      <c r="H13" s="33">
        <v>0.08</v>
      </c>
      <c r="I13" s="34">
        <v>0.04</v>
      </c>
      <c r="J13" s="33">
        <v>34</v>
      </c>
      <c r="K13" s="33">
        <v>0.12</v>
      </c>
      <c r="L13" s="33">
        <v>50.8</v>
      </c>
      <c r="M13" s="33">
        <v>90.2</v>
      </c>
      <c r="N13" s="33">
        <v>21.6</v>
      </c>
      <c r="O13" s="33">
        <v>0.9</v>
      </c>
    </row>
    <row r="14" spans="1:15" x14ac:dyDescent="0.25">
      <c r="A14" s="11"/>
      <c r="B14" s="20" t="s">
        <v>31</v>
      </c>
      <c r="C14" s="9">
        <v>30</v>
      </c>
      <c r="D14" s="9">
        <v>2</v>
      </c>
      <c r="E14" s="9">
        <v>0.7</v>
      </c>
      <c r="F14" s="9">
        <v>13.7</v>
      </c>
      <c r="G14" s="18">
        <v>70.5</v>
      </c>
      <c r="H14" s="33"/>
      <c r="I14" s="34"/>
      <c r="J14" s="33"/>
      <c r="K14" s="33"/>
      <c r="L14" s="33"/>
      <c r="M14" s="33"/>
      <c r="N14" s="33"/>
      <c r="O14" s="33"/>
    </row>
    <row r="15" spans="1:15" x14ac:dyDescent="0.25">
      <c r="A15" s="11"/>
      <c r="B15" s="67" t="s">
        <v>34</v>
      </c>
      <c r="C15" s="11">
        <f t="shared" ref="C15:O15" si="0">SUM(C9:C14)</f>
        <v>759</v>
      </c>
      <c r="D15" s="31">
        <f t="shared" si="0"/>
        <v>38.923266399999996</v>
      </c>
      <c r="E15" s="31">
        <f t="shared" si="0"/>
        <v>47.975449800000007</v>
      </c>
      <c r="F15" s="31">
        <f t="shared" si="0"/>
        <v>100.0869083</v>
      </c>
      <c r="G15" s="55">
        <f t="shared" si="0"/>
        <v>933.33633200000008</v>
      </c>
      <c r="H15" s="42">
        <f t="shared" si="0"/>
        <v>0.28490829999999995</v>
      </c>
      <c r="I15" s="56">
        <f t="shared" si="0"/>
        <v>1.36109083</v>
      </c>
      <c r="J15" s="42">
        <f t="shared" si="0"/>
        <v>34.421272664</v>
      </c>
      <c r="K15" s="42">
        <f t="shared" si="0"/>
        <v>0.95272663999999996</v>
      </c>
      <c r="L15" s="42">
        <f t="shared" si="0"/>
        <v>257.52363493999997</v>
      </c>
      <c r="M15" s="42">
        <f t="shared" si="0"/>
        <v>489.54181659999995</v>
      </c>
      <c r="N15" s="42">
        <f t="shared" si="0"/>
        <v>62.962181659999999</v>
      </c>
      <c r="O15" s="42">
        <f t="shared" si="0"/>
        <v>5.5169090829999998</v>
      </c>
    </row>
    <row r="16" spans="1:15" x14ac:dyDescent="0.25">
      <c r="A16" s="11"/>
      <c r="B16" s="31" t="s">
        <v>29</v>
      </c>
      <c r="C16" s="11"/>
      <c r="D16" s="11"/>
      <c r="E16" s="11"/>
      <c r="F16" s="11"/>
      <c r="G16" s="74"/>
      <c r="H16" s="33"/>
      <c r="I16" s="34"/>
      <c r="J16" s="33"/>
      <c r="K16" s="33"/>
      <c r="L16" s="33"/>
      <c r="M16" s="33"/>
      <c r="N16" s="33"/>
      <c r="O16" s="33"/>
    </row>
    <row r="17" spans="1:15" ht="39" x14ac:dyDescent="0.25">
      <c r="A17" s="33">
        <v>19</v>
      </c>
      <c r="B17" s="3" t="s">
        <v>106</v>
      </c>
      <c r="C17" s="11">
        <v>60</v>
      </c>
      <c r="D17" s="11">
        <f>C17*0.02595</f>
        <v>1.5569999999999999</v>
      </c>
      <c r="E17" s="11">
        <f>C17*0.07387</f>
        <v>4.4321999999999999</v>
      </c>
      <c r="F17" s="11">
        <f>C17*0.03233</f>
        <v>1.9398</v>
      </c>
      <c r="G17" s="99">
        <f>C17*0.898</f>
        <v>53.88</v>
      </c>
      <c r="H17" s="33">
        <f>C17*0.0004</f>
        <v>2.4E-2</v>
      </c>
      <c r="I17" s="34">
        <f>C17*0.1729</f>
        <v>10.374000000000001</v>
      </c>
      <c r="J17" s="33">
        <f>C17*0.296</f>
        <v>17.759999999999998</v>
      </c>
      <c r="K17" s="33">
        <f>C17*0.00083</f>
        <v>4.9799999999999997E-2</v>
      </c>
      <c r="L17" s="33">
        <f>C17*0.33211</f>
        <v>19.926600000000001</v>
      </c>
      <c r="M17" s="33">
        <f>C17*0.49822</f>
        <v>29.8932</v>
      </c>
      <c r="N17" s="33">
        <f>C17*0.15043</f>
        <v>9.0258000000000003</v>
      </c>
      <c r="O17" s="33">
        <f>C17*0.00866</f>
        <v>0.51959999999999995</v>
      </c>
    </row>
    <row r="18" spans="1:15" ht="63.75" x14ac:dyDescent="0.25">
      <c r="A18" s="11">
        <v>82</v>
      </c>
      <c r="B18" s="53" t="s">
        <v>81</v>
      </c>
      <c r="C18" s="11">
        <v>205</v>
      </c>
      <c r="D18" s="11">
        <f>C18*0.00824</f>
        <v>1.6892000000000003</v>
      </c>
      <c r="E18" s="11">
        <f>C18*0.02108</f>
        <v>4.3214000000000006</v>
      </c>
      <c r="F18" s="11">
        <f>C18*0.05204</f>
        <v>10.668200000000001</v>
      </c>
      <c r="G18" s="74">
        <f>C18*0.432</f>
        <v>88.56</v>
      </c>
      <c r="H18" s="33">
        <f>C18*0.0002</f>
        <v>4.1000000000000002E-2</v>
      </c>
      <c r="I18" s="34">
        <f>C18*0.08184</f>
        <v>16.777200000000001</v>
      </c>
      <c r="J18" s="33">
        <f>C18*0.00012</f>
        <v>2.46E-2</v>
      </c>
      <c r="K18" s="33">
        <f>C18*0.0002</f>
        <v>4.1000000000000002E-2</v>
      </c>
      <c r="L18" s="33">
        <f>C18*0.17156</f>
        <v>35.169799999999995</v>
      </c>
      <c r="M18" s="33">
        <f>C18*0.222</f>
        <v>45.51</v>
      </c>
      <c r="N18" s="33">
        <f>C18*0.08932</f>
        <v>18.310600000000001</v>
      </c>
      <c r="O18" s="33">
        <f>C18*0.0048</f>
        <v>0.98399999999999987</v>
      </c>
    </row>
    <row r="19" spans="1:15" ht="51.75" x14ac:dyDescent="0.25">
      <c r="A19" s="11">
        <v>145</v>
      </c>
      <c r="B19" s="54" t="s">
        <v>95</v>
      </c>
      <c r="C19" s="11">
        <v>150</v>
      </c>
      <c r="D19" s="11">
        <f>C19*0.018</f>
        <v>2.6999999999999997</v>
      </c>
      <c r="E19" s="11">
        <f>C19*0.04</f>
        <v>6</v>
      </c>
      <c r="F19" s="11">
        <f>C19*0.11</f>
        <v>16.5</v>
      </c>
      <c r="G19" s="94">
        <f>C19*0.87</f>
        <v>130.5</v>
      </c>
      <c r="H19" s="33">
        <f>C19*0.0006</f>
        <v>0.09</v>
      </c>
      <c r="I19" s="34">
        <f>C19*0.24</f>
        <v>36</v>
      </c>
      <c r="J19" s="33">
        <f>C19*0.0002</f>
        <v>3.0000000000000002E-2</v>
      </c>
      <c r="K19" s="33">
        <f>C19*0.0005</f>
        <v>7.4999999999999997E-2</v>
      </c>
      <c r="L19" s="33">
        <f>C19*0.35</f>
        <v>52.5</v>
      </c>
      <c r="M19" s="33">
        <f>C19*0.474</f>
        <v>71.099999999999994</v>
      </c>
      <c r="N19" s="33">
        <f>C19*0.22</f>
        <v>33</v>
      </c>
      <c r="O19" s="33">
        <f>C19*0.008</f>
        <v>1.2</v>
      </c>
    </row>
    <row r="20" spans="1:15" ht="30" x14ac:dyDescent="0.25">
      <c r="A20" s="31" t="s">
        <v>91</v>
      </c>
      <c r="B20" s="69" t="s">
        <v>92</v>
      </c>
      <c r="C20" s="11">
        <v>90</v>
      </c>
      <c r="D20" s="11">
        <v>12.66</v>
      </c>
      <c r="E20" s="11">
        <v>18.760000000000002</v>
      </c>
      <c r="F20" s="11">
        <v>3.81</v>
      </c>
      <c r="G20" s="91">
        <v>159</v>
      </c>
      <c r="H20" s="33">
        <v>0.19</v>
      </c>
      <c r="I20" s="34">
        <v>28.86</v>
      </c>
      <c r="J20" s="33">
        <v>5.54</v>
      </c>
      <c r="K20" s="33">
        <v>1.4</v>
      </c>
      <c r="L20" s="33">
        <v>25.62</v>
      </c>
      <c r="M20" s="33">
        <v>223.29</v>
      </c>
      <c r="N20" s="33">
        <v>14.8</v>
      </c>
      <c r="O20" s="33">
        <v>4.72</v>
      </c>
    </row>
    <row r="21" spans="1:15" ht="51.75" x14ac:dyDescent="0.25">
      <c r="A21" s="11">
        <v>357</v>
      </c>
      <c r="B21" s="3" t="s">
        <v>39</v>
      </c>
      <c r="C21" s="11">
        <v>200</v>
      </c>
      <c r="D21" s="33">
        <v>0.24</v>
      </c>
      <c r="E21" s="33">
        <v>0.11</v>
      </c>
      <c r="F21" s="33">
        <v>31.37</v>
      </c>
      <c r="G21" s="34">
        <v>149.80000000000001</v>
      </c>
      <c r="H21" s="33">
        <v>0.01</v>
      </c>
      <c r="I21" s="34">
        <v>48.8</v>
      </c>
      <c r="J21" s="33">
        <v>0</v>
      </c>
      <c r="K21" s="33">
        <v>0</v>
      </c>
      <c r="L21" s="33">
        <v>15.7</v>
      </c>
      <c r="M21" s="33">
        <v>6.34</v>
      </c>
      <c r="N21" s="33">
        <v>2.3199999999999998</v>
      </c>
      <c r="O21" s="33">
        <v>0.27</v>
      </c>
    </row>
    <row r="22" spans="1:15" x14ac:dyDescent="0.25">
      <c r="A22" s="11"/>
      <c r="B22" s="20" t="s">
        <v>26</v>
      </c>
      <c r="C22" s="9">
        <v>35</v>
      </c>
      <c r="D22" s="9">
        <v>2.31</v>
      </c>
      <c r="E22" s="9">
        <v>0.39</v>
      </c>
      <c r="F22" s="9">
        <v>14.35</v>
      </c>
      <c r="G22" s="18">
        <v>72.099999999999994</v>
      </c>
      <c r="H22" s="33"/>
      <c r="I22" s="34"/>
      <c r="J22" s="33"/>
      <c r="K22" s="33"/>
      <c r="L22" s="33"/>
      <c r="M22" s="33"/>
      <c r="N22" s="33"/>
      <c r="O22" s="33"/>
    </row>
    <row r="23" spans="1:15" x14ac:dyDescent="0.25">
      <c r="A23" s="11"/>
      <c r="B23" s="20" t="s">
        <v>31</v>
      </c>
      <c r="C23" s="9">
        <v>30</v>
      </c>
      <c r="D23" s="9">
        <v>2</v>
      </c>
      <c r="E23" s="9">
        <v>0.7</v>
      </c>
      <c r="F23" s="9">
        <v>13.7</v>
      </c>
      <c r="G23" s="18">
        <v>70.5</v>
      </c>
      <c r="H23" s="33"/>
      <c r="I23" s="34"/>
      <c r="J23" s="33"/>
      <c r="K23" s="33"/>
      <c r="L23" s="33"/>
      <c r="M23" s="33"/>
      <c r="N23" s="33"/>
      <c r="O23" s="33"/>
    </row>
    <row r="24" spans="1:15" x14ac:dyDescent="0.25">
      <c r="A24" s="11"/>
      <c r="B24" s="66" t="s">
        <v>57</v>
      </c>
      <c r="C24" s="11">
        <v>100</v>
      </c>
      <c r="D24" s="11">
        <v>0.8</v>
      </c>
      <c r="E24" s="11">
        <v>0</v>
      </c>
      <c r="F24" s="11">
        <v>29.4</v>
      </c>
      <c r="G24" s="74">
        <v>86</v>
      </c>
      <c r="H24" s="33"/>
      <c r="I24" s="34"/>
      <c r="J24" s="33"/>
      <c r="K24" s="33"/>
      <c r="L24" s="33"/>
      <c r="M24" s="33"/>
      <c r="N24" s="33"/>
      <c r="O24" s="33"/>
    </row>
    <row r="25" spans="1:15" x14ac:dyDescent="0.25">
      <c r="A25" s="11"/>
      <c r="B25" s="67" t="s">
        <v>34</v>
      </c>
      <c r="C25" s="11">
        <f>SUM(C17:C24)</f>
        <v>870</v>
      </c>
      <c r="D25" s="31">
        <f t="shared" ref="D25:O25" si="1">SUM(D17:D24)</f>
        <v>23.956199999999999</v>
      </c>
      <c r="E25" s="31">
        <f t="shared" si="1"/>
        <v>34.713600000000007</v>
      </c>
      <c r="F25" s="31">
        <f t="shared" si="1"/>
        <v>121.738</v>
      </c>
      <c r="G25" s="55">
        <f t="shared" si="1"/>
        <v>810.34</v>
      </c>
      <c r="H25" s="42">
        <f t="shared" si="1"/>
        <v>0.35499999999999998</v>
      </c>
      <c r="I25" s="56">
        <f t="shared" si="1"/>
        <v>140.81119999999999</v>
      </c>
      <c r="J25" s="42">
        <f t="shared" si="1"/>
        <v>23.354599999999998</v>
      </c>
      <c r="K25" s="42">
        <f t="shared" si="1"/>
        <v>1.5657999999999999</v>
      </c>
      <c r="L25" s="42">
        <f t="shared" si="1"/>
        <v>148.91639999999998</v>
      </c>
      <c r="M25" s="42">
        <f t="shared" si="1"/>
        <v>376.13319999999993</v>
      </c>
      <c r="N25" s="42">
        <f t="shared" si="1"/>
        <v>77.456399999999988</v>
      </c>
      <c r="O25" s="42">
        <f t="shared" si="1"/>
        <v>7.6936</v>
      </c>
    </row>
    <row r="26" spans="1:15" x14ac:dyDescent="0.25">
      <c r="A26" s="11"/>
      <c r="B26" s="67" t="s">
        <v>33</v>
      </c>
      <c r="C26" s="31">
        <f>C15+C25</f>
        <v>1629</v>
      </c>
      <c r="D26" s="31">
        <f t="shared" ref="D26:O26" si="2">D15+D25</f>
        <v>62.879466399999998</v>
      </c>
      <c r="E26" s="31">
        <f t="shared" si="2"/>
        <v>82.689049800000021</v>
      </c>
      <c r="F26" s="31">
        <f t="shared" si="2"/>
        <v>221.8249083</v>
      </c>
      <c r="G26" s="55">
        <f t="shared" si="2"/>
        <v>1743.676332</v>
      </c>
      <c r="H26" s="42">
        <f t="shared" si="2"/>
        <v>0.63990829999999987</v>
      </c>
      <c r="I26" s="56">
        <f t="shared" si="2"/>
        <v>142.17229082999998</v>
      </c>
      <c r="J26" s="42">
        <f t="shared" si="2"/>
        <v>57.775872663999998</v>
      </c>
      <c r="K26" s="42">
        <f t="shared" si="2"/>
        <v>2.5185266399999997</v>
      </c>
      <c r="L26" s="42">
        <f t="shared" si="2"/>
        <v>406.44003493999992</v>
      </c>
      <c r="M26" s="42">
        <f t="shared" si="2"/>
        <v>865.67501659999994</v>
      </c>
      <c r="N26" s="42">
        <f t="shared" si="2"/>
        <v>140.41858165999997</v>
      </c>
      <c r="O26" s="42">
        <f t="shared" si="2"/>
        <v>13.210509083</v>
      </c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scale="93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8" zoomScaleNormal="100" workbookViewId="0">
      <selection activeCell="C26" sqref="C26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8.75" x14ac:dyDescent="0.3">
      <c r="A1" s="5"/>
      <c r="B1" s="5"/>
      <c r="C1" s="5"/>
      <c r="D1" s="5"/>
      <c r="E1" s="5"/>
      <c r="F1" s="7" t="s">
        <v>0</v>
      </c>
      <c r="G1" s="47"/>
      <c r="H1" s="8"/>
      <c r="I1" s="5"/>
      <c r="J1" s="5"/>
      <c r="K1" s="5"/>
      <c r="L1" s="5"/>
      <c r="M1" s="5"/>
      <c r="N1" s="5"/>
      <c r="O1" s="5"/>
    </row>
    <row r="2" spans="1:15" x14ac:dyDescent="0.25">
      <c r="A2" s="5" t="s">
        <v>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75" x14ac:dyDescent="0.25">
      <c r="A4" s="5" t="s">
        <v>3</v>
      </c>
      <c r="B4" s="6" t="s">
        <v>99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58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45" customHeight="1" x14ac:dyDescent="0.25">
      <c r="A6" s="114" t="s">
        <v>5</v>
      </c>
      <c r="B6" s="115" t="s">
        <v>6</v>
      </c>
      <c r="C6" s="114" t="s">
        <v>7</v>
      </c>
      <c r="D6" s="111" t="s">
        <v>8</v>
      </c>
      <c r="E6" s="112"/>
      <c r="F6" s="113"/>
      <c r="G6" s="117" t="s">
        <v>12</v>
      </c>
      <c r="H6" s="111" t="s">
        <v>13</v>
      </c>
      <c r="I6" s="112"/>
      <c r="J6" s="112"/>
      <c r="K6" s="113"/>
      <c r="L6" s="111" t="s">
        <v>18</v>
      </c>
      <c r="M6" s="112"/>
      <c r="N6" s="112"/>
      <c r="O6" s="113"/>
    </row>
    <row r="7" spans="1:15" x14ac:dyDescent="0.25">
      <c r="A7" s="114"/>
      <c r="B7" s="116"/>
      <c r="C7" s="114"/>
      <c r="D7" s="11" t="s">
        <v>9</v>
      </c>
      <c r="E7" s="11" t="s">
        <v>10</v>
      </c>
      <c r="F7" s="11" t="s">
        <v>11</v>
      </c>
      <c r="G7" s="118"/>
      <c r="H7" s="11" t="s">
        <v>14</v>
      </c>
      <c r="I7" s="74" t="s">
        <v>15</v>
      </c>
      <c r="J7" s="11" t="s">
        <v>16</v>
      </c>
      <c r="K7" s="11" t="s">
        <v>17</v>
      </c>
      <c r="L7" s="11" t="s">
        <v>19</v>
      </c>
      <c r="M7" s="11" t="s">
        <v>20</v>
      </c>
      <c r="N7" s="11" t="s">
        <v>21</v>
      </c>
      <c r="O7" s="11" t="s">
        <v>22</v>
      </c>
    </row>
    <row r="8" spans="1:15" x14ac:dyDescent="0.25">
      <c r="A8" s="11"/>
      <c r="B8" s="31" t="s">
        <v>28</v>
      </c>
      <c r="C8" s="11"/>
      <c r="D8" s="33"/>
      <c r="E8" s="33"/>
      <c r="F8" s="33"/>
      <c r="G8" s="74"/>
      <c r="H8" s="33"/>
      <c r="I8" s="34"/>
      <c r="J8" s="33"/>
      <c r="K8" s="33"/>
      <c r="L8" s="33"/>
      <c r="M8" s="33"/>
      <c r="N8" s="33"/>
      <c r="O8" s="33"/>
    </row>
    <row r="9" spans="1:15" ht="28.5" x14ac:dyDescent="0.25">
      <c r="A9" s="12">
        <v>2</v>
      </c>
      <c r="B9" s="21" t="s">
        <v>66</v>
      </c>
      <c r="C9" s="11">
        <v>55</v>
      </c>
      <c r="D9" s="11">
        <v>5.3</v>
      </c>
      <c r="E9" s="11">
        <v>8.26</v>
      </c>
      <c r="F9" s="11">
        <v>14.82</v>
      </c>
      <c r="G9" s="74">
        <v>155</v>
      </c>
      <c r="H9" s="33">
        <v>0.09</v>
      </c>
      <c r="I9" s="34">
        <v>0</v>
      </c>
      <c r="J9" s="33">
        <v>0</v>
      </c>
      <c r="K9" s="33">
        <v>0.12</v>
      </c>
      <c r="L9" s="33">
        <v>11.2</v>
      </c>
      <c r="M9" s="33">
        <v>59.9</v>
      </c>
      <c r="N9" s="33">
        <v>9.1999999999999993</v>
      </c>
      <c r="O9" s="33">
        <v>0.77</v>
      </c>
    </row>
    <row r="10" spans="1:15" ht="26.25" x14ac:dyDescent="0.25">
      <c r="A10" s="11">
        <v>210</v>
      </c>
      <c r="B10" s="27" t="s">
        <v>40</v>
      </c>
      <c r="C10" s="33">
        <v>174</v>
      </c>
      <c r="D10" s="33">
        <f>C10*0.1003636</f>
        <v>17.463266399999998</v>
      </c>
      <c r="E10" s="33">
        <f>C10*0.1672727</f>
        <v>29.105449799999999</v>
      </c>
      <c r="F10" s="33">
        <f>C10*0.01854545</f>
        <v>3.2269083000000003</v>
      </c>
      <c r="G10" s="34">
        <f>C10*1.981818</f>
        <v>344.83633200000003</v>
      </c>
      <c r="H10" s="33">
        <f>C10*0.00054545</f>
        <v>9.4908299999999987E-2</v>
      </c>
      <c r="I10" s="34">
        <f>C10*0.003454545</f>
        <v>0.60109082999999996</v>
      </c>
      <c r="J10" s="33">
        <f>C10*0.002363636</f>
        <v>0.41127266400000001</v>
      </c>
      <c r="K10" s="33">
        <f>C10*0.00363636</f>
        <v>0.63272664000000001</v>
      </c>
      <c r="L10" s="33">
        <f>C10*0.75818181</f>
        <v>131.92363494</v>
      </c>
      <c r="M10" s="33">
        <f>C10*1.6590909</f>
        <v>288.68181659999999</v>
      </c>
      <c r="N10" s="33">
        <f>C10*0.12690909</f>
        <v>22.08218166</v>
      </c>
      <c r="O10" s="33">
        <f>C10*0.0185454545</f>
        <v>3.2269090829999998</v>
      </c>
    </row>
    <row r="11" spans="1:15" ht="16.5" customHeight="1" x14ac:dyDescent="0.25">
      <c r="A11" s="9">
        <v>386</v>
      </c>
      <c r="B11" s="20" t="s">
        <v>63</v>
      </c>
      <c r="C11" s="9">
        <v>200</v>
      </c>
      <c r="D11" s="17">
        <v>3.4</v>
      </c>
      <c r="E11" s="17">
        <v>2.8</v>
      </c>
      <c r="F11" s="17">
        <v>29.8</v>
      </c>
      <c r="G11" s="19">
        <v>105</v>
      </c>
      <c r="H11" s="33"/>
      <c r="I11" s="34"/>
      <c r="J11" s="33"/>
      <c r="K11" s="33"/>
      <c r="L11" s="33"/>
      <c r="M11" s="33"/>
      <c r="N11" s="33"/>
      <c r="O11" s="33"/>
    </row>
    <row r="12" spans="1:15" ht="21" customHeight="1" x14ac:dyDescent="0.25">
      <c r="A12" s="9">
        <v>376</v>
      </c>
      <c r="B12" s="20" t="s">
        <v>37</v>
      </c>
      <c r="C12" s="9">
        <v>200</v>
      </c>
      <c r="D12" s="17">
        <v>1.54</v>
      </c>
      <c r="E12" s="17">
        <v>1.63</v>
      </c>
      <c r="F12" s="17">
        <v>9.36</v>
      </c>
      <c r="G12" s="19">
        <v>56</v>
      </c>
      <c r="H12" s="33">
        <v>0.02</v>
      </c>
      <c r="I12" s="34">
        <v>0.72</v>
      </c>
      <c r="J12" s="33">
        <v>0.01</v>
      </c>
      <c r="K12" s="33">
        <v>0.08</v>
      </c>
      <c r="L12" s="33">
        <v>63.6</v>
      </c>
      <c r="M12" s="33">
        <v>50.76</v>
      </c>
      <c r="N12" s="33">
        <v>10.08</v>
      </c>
      <c r="O12" s="33">
        <v>0.62</v>
      </c>
    </row>
    <row r="13" spans="1:15" ht="28.5" customHeight="1" x14ac:dyDescent="0.25">
      <c r="A13" s="11">
        <v>424</v>
      </c>
      <c r="B13" s="21" t="s">
        <v>108</v>
      </c>
      <c r="C13" s="11">
        <v>100</v>
      </c>
      <c r="D13" s="33">
        <v>9.2200000000000006</v>
      </c>
      <c r="E13" s="33">
        <v>5.48</v>
      </c>
      <c r="F13" s="33">
        <v>29.18</v>
      </c>
      <c r="G13" s="34">
        <v>202</v>
      </c>
      <c r="H13" s="33">
        <v>0.08</v>
      </c>
      <c r="I13" s="34">
        <v>0.04</v>
      </c>
      <c r="J13" s="33">
        <v>34</v>
      </c>
      <c r="K13" s="33">
        <v>0.12</v>
      </c>
      <c r="L13" s="33">
        <v>50.8</v>
      </c>
      <c r="M13" s="33">
        <v>90.2</v>
      </c>
      <c r="N13" s="33">
        <v>21.6</v>
      </c>
      <c r="O13" s="33">
        <v>0.9</v>
      </c>
    </row>
    <row r="14" spans="1:15" x14ac:dyDescent="0.25">
      <c r="A14" s="11"/>
      <c r="B14" s="20" t="s">
        <v>31</v>
      </c>
      <c r="C14" s="9">
        <v>30</v>
      </c>
      <c r="D14" s="9">
        <v>2</v>
      </c>
      <c r="E14" s="9">
        <v>0.7</v>
      </c>
      <c r="F14" s="9">
        <v>13.7</v>
      </c>
      <c r="G14" s="18">
        <v>70.5</v>
      </c>
      <c r="H14" s="33"/>
      <c r="I14" s="34"/>
      <c r="J14" s="33"/>
      <c r="K14" s="33"/>
      <c r="L14" s="33"/>
      <c r="M14" s="33"/>
      <c r="N14" s="33"/>
      <c r="O14" s="33"/>
    </row>
    <row r="15" spans="1:15" ht="37.5" customHeight="1" x14ac:dyDescent="0.25">
      <c r="A15" s="11"/>
      <c r="B15" s="67" t="s">
        <v>34</v>
      </c>
      <c r="C15" s="31">
        <f t="shared" ref="C15:O15" si="0">SUM(C9:C14)</f>
        <v>759</v>
      </c>
      <c r="D15" s="31">
        <f t="shared" si="0"/>
        <v>38.923266399999996</v>
      </c>
      <c r="E15" s="31">
        <f t="shared" si="0"/>
        <v>47.975449800000007</v>
      </c>
      <c r="F15" s="31">
        <f t="shared" si="0"/>
        <v>100.0869083</v>
      </c>
      <c r="G15" s="55">
        <f t="shared" si="0"/>
        <v>933.33633200000008</v>
      </c>
      <c r="H15" s="42">
        <f t="shared" si="0"/>
        <v>0.28490829999999995</v>
      </c>
      <c r="I15" s="56">
        <f t="shared" si="0"/>
        <v>1.36109083</v>
      </c>
      <c r="J15" s="42">
        <f t="shared" si="0"/>
        <v>34.421272664</v>
      </c>
      <c r="K15" s="42">
        <f t="shared" si="0"/>
        <v>0.95272663999999996</v>
      </c>
      <c r="L15" s="42">
        <f t="shared" si="0"/>
        <v>257.52363493999997</v>
      </c>
      <c r="M15" s="42">
        <f t="shared" si="0"/>
        <v>489.54181659999995</v>
      </c>
      <c r="N15" s="42">
        <f t="shared" si="0"/>
        <v>62.962181659999999</v>
      </c>
      <c r="O15" s="42">
        <f t="shared" si="0"/>
        <v>5.5169090829999998</v>
      </c>
    </row>
    <row r="16" spans="1:15" x14ac:dyDescent="0.25">
      <c r="A16" s="11"/>
      <c r="B16" s="31" t="s">
        <v>29</v>
      </c>
      <c r="C16" s="11"/>
      <c r="D16" s="11"/>
      <c r="E16" s="11"/>
      <c r="F16" s="11"/>
      <c r="G16" s="74"/>
      <c r="H16" s="33"/>
      <c r="I16" s="34"/>
      <c r="J16" s="33"/>
      <c r="K16" s="33"/>
      <c r="L16" s="33"/>
      <c r="M16" s="33"/>
      <c r="N16" s="33"/>
      <c r="O16" s="33"/>
    </row>
    <row r="17" spans="1:15" ht="39" x14ac:dyDescent="0.25">
      <c r="A17" s="33">
        <v>19</v>
      </c>
      <c r="B17" s="3" t="s">
        <v>106</v>
      </c>
      <c r="C17" s="11">
        <v>100</v>
      </c>
      <c r="D17" s="11">
        <v>2.5950000000000002</v>
      </c>
      <c r="E17" s="11">
        <v>7.3869999999999996</v>
      </c>
      <c r="F17" s="11">
        <v>3.2330000000000001</v>
      </c>
      <c r="G17" s="99">
        <v>89.8</v>
      </c>
      <c r="H17" s="33">
        <v>0.04</v>
      </c>
      <c r="I17" s="34">
        <v>17.29</v>
      </c>
      <c r="J17" s="33">
        <v>29.6</v>
      </c>
      <c r="K17" s="33">
        <v>8.3000000000000004E-2</v>
      </c>
      <c r="L17" s="33">
        <v>33.210999999999999</v>
      </c>
      <c r="M17" s="33">
        <v>49.822000000000003</v>
      </c>
      <c r="N17" s="33">
        <v>15.042999999999999</v>
      </c>
      <c r="O17" s="33">
        <v>0.86599999999999999</v>
      </c>
    </row>
    <row r="18" spans="1:15" ht="63.75" x14ac:dyDescent="0.25">
      <c r="A18" s="11">
        <v>82</v>
      </c>
      <c r="B18" s="53" t="s">
        <v>81</v>
      </c>
      <c r="C18" s="11">
        <v>255</v>
      </c>
      <c r="D18" s="11">
        <f>C18*0.00824</f>
        <v>2.1012000000000004</v>
      </c>
      <c r="E18" s="11">
        <f>C18*0.02108</f>
        <v>5.3754</v>
      </c>
      <c r="F18" s="11">
        <f>C18*0.05204</f>
        <v>13.270200000000001</v>
      </c>
      <c r="G18" s="74">
        <f>C18*0.432</f>
        <v>110.16</v>
      </c>
      <c r="H18" s="33">
        <f>C18*0.0002</f>
        <v>5.1000000000000004E-2</v>
      </c>
      <c r="I18" s="34">
        <f>C18*0.08184</f>
        <v>20.869199999999999</v>
      </c>
      <c r="J18" s="33">
        <f>C18*0.00012</f>
        <v>3.0600000000000002E-2</v>
      </c>
      <c r="K18" s="33">
        <f>C18*0.0002</f>
        <v>5.1000000000000004E-2</v>
      </c>
      <c r="L18" s="33">
        <f>C18*0.17156</f>
        <v>43.747799999999998</v>
      </c>
      <c r="M18" s="33">
        <f>C18*0.222</f>
        <v>56.61</v>
      </c>
      <c r="N18" s="33">
        <f>C18*0.08932</f>
        <v>22.776599999999998</v>
      </c>
      <c r="O18" s="33">
        <f>C18*0.0048</f>
        <v>1.224</v>
      </c>
    </row>
    <row r="19" spans="1:15" ht="51.75" x14ac:dyDescent="0.25">
      <c r="A19" s="11">
        <v>145</v>
      </c>
      <c r="B19" s="54" t="s">
        <v>95</v>
      </c>
      <c r="C19" s="11">
        <v>180</v>
      </c>
      <c r="D19" s="11">
        <f>C19*0.018</f>
        <v>3.2399999999999998</v>
      </c>
      <c r="E19" s="11">
        <f>C19*0.04</f>
        <v>7.2</v>
      </c>
      <c r="F19" s="11">
        <f>C19*0.11</f>
        <v>19.8</v>
      </c>
      <c r="G19" s="94">
        <f>C19*0.87</f>
        <v>156.6</v>
      </c>
      <c r="H19" s="33">
        <f>C19*0.0006</f>
        <v>0.10799999999999998</v>
      </c>
      <c r="I19" s="34">
        <f>C19*0.24</f>
        <v>43.199999999999996</v>
      </c>
      <c r="J19" s="33">
        <f>C19*0.0002</f>
        <v>3.6000000000000004E-2</v>
      </c>
      <c r="K19" s="33">
        <f>C19*0.0005</f>
        <v>0.09</v>
      </c>
      <c r="L19" s="33">
        <f>C19*0.35</f>
        <v>62.999999999999993</v>
      </c>
      <c r="M19" s="33">
        <f>C19*0.474</f>
        <v>85.32</v>
      </c>
      <c r="N19" s="33">
        <f>C19*0.22</f>
        <v>39.6</v>
      </c>
      <c r="O19" s="33">
        <f>C19*0.008</f>
        <v>1.44</v>
      </c>
    </row>
    <row r="20" spans="1:15" ht="30" x14ac:dyDescent="0.25">
      <c r="A20" s="31" t="s">
        <v>91</v>
      </c>
      <c r="B20" s="69" t="s">
        <v>92</v>
      </c>
      <c r="C20" s="11">
        <v>100</v>
      </c>
      <c r="D20" s="11">
        <v>12.66</v>
      </c>
      <c r="E20" s="11">
        <v>18.760000000000002</v>
      </c>
      <c r="F20" s="11">
        <v>3.81</v>
      </c>
      <c r="G20" s="91">
        <v>159</v>
      </c>
      <c r="H20" s="33">
        <v>0.19</v>
      </c>
      <c r="I20" s="34">
        <v>28.86</v>
      </c>
      <c r="J20" s="33">
        <v>5.54</v>
      </c>
      <c r="K20" s="33">
        <v>1.4</v>
      </c>
      <c r="L20" s="33">
        <v>25.62</v>
      </c>
      <c r="M20" s="33">
        <v>223.29</v>
      </c>
      <c r="N20" s="33">
        <v>14.8</v>
      </c>
      <c r="O20" s="33">
        <v>4.72</v>
      </c>
    </row>
    <row r="21" spans="1:15" ht="51.75" x14ac:dyDescent="0.25">
      <c r="A21" s="11">
        <v>357</v>
      </c>
      <c r="B21" s="3" t="s">
        <v>39</v>
      </c>
      <c r="C21" s="11">
        <v>200</v>
      </c>
      <c r="D21" s="33">
        <v>0.24</v>
      </c>
      <c r="E21" s="33">
        <v>0.11</v>
      </c>
      <c r="F21" s="33">
        <v>31.37</v>
      </c>
      <c r="G21" s="34">
        <v>149.80000000000001</v>
      </c>
      <c r="H21" s="33">
        <v>0.01</v>
      </c>
      <c r="I21" s="34">
        <v>48.8</v>
      </c>
      <c r="J21" s="33">
        <v>0</v>
      </c>
      <c r="K21" s="33">
        <v>0</v>
      </c>
      <c r="L21" s="33">
        <v>15.7</v>
      </c>
      <c r="M21" s="33">
        <v>6.34</v>
      </c>
      <c r="N21" s="33">
        <v>2.3199999999999998</v>
      </c>
      <c r="O21" s="33">
        <v>0.27</v>
      </c>
    </row>
    <row r="22" spans="1:15" x14ac:dyDescent="0.25">
      <c r="A22" s="11"/>
      <c r="B22" s="20" t="s">
        <v>26</v>
      </c>
      <c r="C22" s="9">
        <v>35</v>
      </c>
      <c r="D22" s="9">
        <v>2.31</v>
      </c>
      <c r="E22" s="9">
        <v>0.39</v>
      </c>
      <c r="F22" s="9">
        <v>14.35</v>
      </c>
      <c r="G22" s="18">
        <v>72.099999999999994</v>
      </c>
      <c r="H22" s="33"/>
      <c r="I22" s="34"/>
      <c r="J22" s="33"/>
      <c r="K22" s="33"/>
      <c r="L22" s="33"/>
      <c r="M22" s="33"/>
      <c r="N22" s="33"/>
      <c r="O22" s="33"/>
    </row>
    <row r="23" spans="1:15" x14ac:dyDescent="0.25">
      <c r="A23" s="11"/>
      <c r="B23" s="20" t="s">
        <v>31</v>
      </c>
      <c r="C23" s="9">
        <v>30</v>
      </c>
      <c r="D23" s="9">
        <v>2</v>
      </c>
      <c r="E23" s="9">
        <v>0.7</v>
      </c>
      <c r="F23" s="9">
        <v>13.7</v>
      </c>
      <c r="G23" s="18">
        <v>70.5</v>
      </c>
      <c r="H23" s="33"/>
      <c r="I23" s="34"/>
      <c r="J23" s="33"/>
      <c r="K23" s="33"/>
      <c r="L23" s="33"/>
      <c r="M23" s="33"/>
      <c r="N23" s="33"/>
      <c r="O23" s="33"/>
    </row>
    <row r="24" spans="1:15" x14ac:dyDescent="0.25">
      <c r="A24" s="11"/>
      <c r="B24" s="66" t="s">
        <v>57</v>
      </c>
      <c r="C24" s="11">
        <v>100</v>
      </c>
      <c r="D24" s="11">
        <v>0.8</v>
      </c>
      <c r="E24" s="11">
        <v>0</v>
      </c>
      <c r="F24" s="11">
        <v>29.4</v>
      </c>
      <c r="G24" s="74">
        <v>86</v>
      </c>
      <c r="H24" s="33"/>
      <c r="I24" s="34"/>
      <c r="J24" s="33"/>
      <c r="K24" s="33"/>
      <c r="L24" s="33"/>
      <c r="M24" s="33"/>
      <c r="N24" s="33"/>
      <c r="O24" s="33"/>
    </row>
    <row r="25" spans="1:15" x14ac:dyDescent="0.25">
      <c r="A25" s="11"/>
      <c r="B25" s="67" t="s">
        <v>34</v>
      </c>
      <c r="C25" s="11">
        <f>SUM(C17:C24)</f>
        <v>1000</v>
      </c>
      <c r="D25" s="31">
        <f t="shared" ref="D25:O25" si="1">SUM(D17:D24)</f>
        <v>25.946200000000001</v>
      </c>
      <c r="E25" s="31">
        <f t="shared" si="1"/>
        <v>39.922400000000003</v>
      </c>
      <c r="F25" s="31">
        <f t="shared" si="1"/>
        <v>128.9332</v>
      </c>
      <c r="G25" s="55">
        <f t="shared" si="1"/>
        <v>893.95999999999992</v>
      </c>
      <c r="H25" s="42">
        <f t="shared" si="1"/>
        <v>0.39900000000000002</v>
      </c>
      <c r="I25" s="56">
        <f t="shared" si="1"/>
        <v>159.01919999999998</v>
      </c>
      <c r="J25" s="42">
        <f t="shared" si="1"/>
        <v>35.206600000000002</v>
      </c>
      <c r="K25" s="42">
        <f t="shared" si="1"/>
        <v>1.6239999999999999</v>
      </c>
      <c r="L25" s="42">
        <f t="shared" si="1"/>
        <v>181.27879999999999</v>
      </c>
      <c r="M25" s="42">
        <f t="shared" si="1"/>
        <v>421.38200000000001</v>
      </c>
      <c r="N25" s="42">
        <f t="shared" si="1"/>
        <v>94.539599999999993</v>
      </c>
      <c r="O25" s="42">
        <f t="shared" si="1"/>
        <v>8.52</v>
      </c>
    </row>
    <row r="26" spans="1:15" x14ac:dyDescent="0.25">
      <c r="A26" s="11"/>
      <c r="B26" s="67" t="s">
        <v>33</v>
      </c>
      <c r="C26" s="31">
        <f>C15+C25</f>
        <v>1759</v>
      </c>
      <c r="D26" s="31">
        <f t="shared" ref="D26:O26" si="2">D15+D25</f>
        <v>64.869466399999993</v>
      </c>
      <c r="E26" s="31">
        <f t="shared" si="2"/>
        <v>87.897849800000017</v>
      </c>
      <c r="F26" s="31">
        <f t="shared" si="2"/>
        <v>229.0201083</v>
      </c>
      <c r="G26" s="55">
        <f t="shared" si="2"/>
        <v>1827.2963319999999</v>
      </c>
      <c r="H26" s="42">
        <f t="shared" si="2"/>
        <v>0.68390829999999991</v>
      </c>
      <c r="I26" s="56">
        <f t="shared" si="2"/>
        <v>160.38029082999998</v>
      </c>
      <c r="J26" s="42">
        <f t="shared" si="2"/>
        <v>69.627872663999995</v>
      </c>
      <c r="K26" s="42">
        <f t="shared" si="2"/>
        <v>2.57672664</v>
      </c>
      <c r="L26" s="42">
        <f t="shared" si="2"/>
        <v>438.80243493999996</v>
      </c>
      <c r="M26" s="42">
        <f t="shared" si="2"/>
        <v>910.92381660000001</v>
      </c>
      <c r="N26" s="42">
        <f t="shared" si="2"/>
        <v>157.50178166000001</v>
      </c>
      <c r="O26" s="42">
        <f t="shared" si="2"/>
        <v>14.036909082999999</v>
      </c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scale="87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10" zoomScaleNormal="100" workbookViewId="0">
      <selection activeCell="C25" sqref="C25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8.75" x14ac:dyDescent="0.3">
      <c r="A1" s="5"/>
      <c r="B1" s="5"/>
      <c r="C1" s="5"/>
      <c r="D1" s="5"/>
      <c r="E1" s="5"/>
      <c r="F1" s="7" t="s">
        <v>0</v>
      </c>
      <c r="G1" s="47"/>
      <c r="H1" s="8"/>
      <c r="I1" s="5"/>
      <c r="J1" s="5"/>
      <c r="K1" s="5"/>
      <c r="L1" s="5"/>
      <c r="M1" s="5"/>
      <c r="N1" s="5"/>
      <c r="O1" s="5"/>
    </row>
    <row r="2" spans="1:15" x14ac:dyDescent="0.25">
      <c r="A2" s="5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75" x14ac:dyDescent="0.25">
      <c r="A4" s="5" t="s">
        <v>3</v>
      </c>
      <c r="B4" s="6" t="s">
        <v>99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45" customHeight="1" x14ac:dyDescent="0.25">
      <c r="A6" s="119" t="s">
        <v>5</v>
      </c>
      <c r="B6" s="107" t="s">
        <v>6</v>
      </c>
      <c r="C6" s="119" t="s">
        <v>7</v>
      </c>
      <c r="D6" s="103" t="s">
        <v>8</v>
      </c>
      <c r="E6" s="104"/>
      <c r="F6" s="105"/>
      <c r="G6" s="109" t="s">
        <v>12</v>
      </c>
      <c r="H6" s="103" t="s">
        <v>13</v>
      </c>
      <c r="I6" s="104"/>
      <c r="J6" s="104"/>
      <c r="K6" s="105"/>
      <c r="L6" s="103" t="s">
        <v>18</v>
      </c>
      <c r="M6" s="104"/>
      <c r="N6" s="104"/>
      <c r="O6" s="105"/>
    </row>
    <row r="7" spans="1:15" ht="15" customHeight="1" x14ac:dyDescent="0.25">
      <c r="A7" s="120"/>
      <c r="B7" s="108"/>
      <c r="C7" s="120"/>
      <c r="D7" s="9" t="s">
        <v>9</v>
      </c>
      <c r="E7" s="9" t="s">
        <v>10</v>
      </c>
      <c r="F7" s="9" t="s">
        <v>11</v>
      </c>
      <c r="G7" s="110"/>
      <c r="H7" s="9" t="s">
        <v>14</v>
      </c>
      <c r="I7" s="72" t="s">
        <v>15</v>
      </c>
      <c r="J7" s="11" t="s">
        <v>16</v>
      </c>
      <c r="K7" s="12" t="s">
        <v>17</v>
      </c>
      <c r="L7" s="9" t="s">
        <v>19</v>
      </c>
      <c r="M7" s="9" t="s">
        <v>20</v>
      </c>
      <c r="N7" s="9" t="s">
        <v>21</v>
      </c>
      <c r="O7" s="9" t="s">
        <v>22</v>
      </c>
    </row>
    <row r="8" spans="1:15" x14ac:dyDescent="0.25">
      <c r="A8" s="9"/>
      <c r="B8" s="49" t="s">
        <v>28</v>
      </c>
      <c r="C8" s="9"/>
      <c r="D8" s="17"/>
      <c r="E8" s="17"/>
      <c r="F8" s="17"/>
      <c r="G8" s="18"/>
      <c r="H8" s="17"/>
      <c r="I8" s="19"/>
      <c r="J8" s="17"/>
      <c r="K8" s="17"/>
      <c r="L8" s="17"/>
      <c r="M8" s="17"/>
      <c r="N8" s="17"/>
      <c r="O8" s="17"/>
    </row>
    <row r="9" spans="1:15" x14ac:dyDescent="0.25">
      <c r="A9" s="9" t="s">
        <v>60</v>
      </c>
      <c r="B9" s="16" t="s">
        <v>23</v>
      </c>
      <c r="C9" s="9">
        <v>50</v>
      </c>
      <c r="D9" s="33">
        <v>5.76</v>
      </c>
      <c r="E9" s="33">
        <v>5.25</v>
      </c>
      <c r="F9" s="33">
        <v>14.94</v>
      </c>
      <c r="G9" s="74">
        <v>133</v>
      </c>
      <c r="H9" s="33">
        <v>0.05</v>
      </c>
      <c r="I9" s="34">
        <v>0.24</v>
      </c>
      <c r="J9" s="33">
        <v>0.03</v>
      </c>
      <c r="K9" s="33">
        <v>0.02</v>
      </c>
      <c r="L9" s="33">
        <v>156.6</v>
      </c>
      <c r="M9" s="33">
        <v>106.5</v>
      </c>
      <c r="N9" s="33">
        <v>17.399999999999999</v>
      </c>
      <c r="O9" s="33">
        <v>0.76</v>
      </c>
    </row>
    <row r="10" spans="1:15" ht="51" x14ac:dyDescent="0.25">
      <c r="A10" s="11">
        <v>222</v>
      </c>
      <c r="B10" s="68" t="s">
        <v>93</v>
      </c>
      <c r="C10" s="11">
        <v>195</v>
      </c>
      <c r="D10" s="11">
        <v>20.95</v>
      </c>
      <c r="E10" s="11">
        <v>18.8</v>
      </c>
      <c r="F10" s="11">
        <v>58.94</v>
      </c>
      <c r="G10" s="74">
        <v>403</v>
      </c>
      <c r="H10" s="33">
        <v>0.08</v>
      </c>
      <c r="I10" s="34">
        <v>0.68</v>
      </c>
      <c r="J10" s="33">
        <v>0.08</v>
      </c>
      <c r="K10" s="33">
        <v>0.35</v>
      </c>
      <c r="L10" s="33">
        <v>232.5</v>
      </c>
      <c r="M10" s="33">
        <v>264.60000000000002</v>
      </c>
      <c r="N10" s="33">
        <v>35.090000000000003</v>
      </c>
      <c r="O10" s="33">
        <v>0.99</v>
      </c>
    </row>
    <row r="11" spans="1:15" ht="30" x14ac:dyDescent="0.25">
      <c r="A11" s="9">
        <v>379</v>
      </c>
      <c r="B11" s="21" t="s">
        <v>25</v>
      </c>
      <c r="C11" s="9">
        <v>200</v>
      </c>
      <c r="D11" s="9">
        <v>1.4</v>
      </c>
      <c r="E11" s="9">
        <v>1.6</v>
      </c>
      <c r="F11" s="9">
        <v>22.31</v>
      </c>
      <c r="G11" s="18">
        <v>105</v>
      </c>
      <c r="H11" s="17">
        <v>0.02</v>
      </c>
      <c r="I11" s="19">
        <v>0.65</v>
      </c>
      <c r="J11" s="17">
        <v>0.01</v>
      </c>
      <c r="K11" s="17">
        <v>0</v>
      </c>
      <c r="L11" s="17">
        <v>60.4</v>
      </c>
      <c r="M11" s="17">
        <v>45</v>
      </c>
      <c r="N11" s="17">
        <v>7</v>
      </c>
      <c r="O11" s="17">
        <v>0.09</v>
      </c>
    </row>
    <row r="12" spans="1:15" x14ac:dyDescent="0.25">
      <c r="A12" s="11"/>
      <c r="B12" s="20" t="s">
        <v>114</v>
      </c>
      <c r="C12" s="9">
        <v>25</v>
      </c>
      <c r="D12" s="9">
        <v>1.05</v>
      </c>
      <c r="E12" s="9">
        <v>5.0999999999999996</v>
      </c>
      <c r="F12" s="9">
        <v>7.95</v>
      </c>
      <c r="G12" s="18">
        <v>82.5</v>
      </c>
      <c r="H12" s="33"/>
      <c r="I12" s="34"/>
      <c r="J12" s="33"/>
      <c r="K12" s="33"/>
      <c r="L12" s="33"/>
      <c r="M12" s="33"/>
      <c r="N12" s="33"/>
      <c r="O12" s="33"/>
    </row>
    <row r="13" spans="1:15" x14ac:dyDescent="0.25">
      <c r="A13" s="11"/>
      <c r="B13" s="20" t="s">
        <v>31</v>
      </c>
      <c r="C13" s="9">
        <v>30</v>
      </c>
      <c r="D13" s="9">
        <v>2</v>
      </c>
      <c r="E13" s="9">
        <v>0.7</v>
      </c>
      <c r="F13" s="9">
        <v>13.7</v>
      </c>
      <c r="G13" s="18">
        <v>70.5</v>
      </c>
      <c r="H13" s="33"/>
      <c r="I13" s="34"/>
      <c r="J13" s="33"/>
      <c r="K13" s="33"/>
      <c r="L13" s="33"/>
      <c r="M13" s="33"/>
      <c r="N13" s="33"/>
      <c r="O13" s="33"/>
    </row>
    <row r="14" spans="1:15" x14ac:dyDescent="0.25">
      <c r="A14" s="11"/>
      <c r="B14" s="82" t="s">
        <v>34</v>
      </c>
      <c r="C14" s="31">
        <f>SUM(C9:C13)</f>
        <v>500</v>
      </c>
      <c r="D14" s="31">
        <f t="shared" ref="D14:O14" si="0">SUM(D9:D13)</f>
        <v>31.16</v>
      </c>
      <c r="E14" s="31">
        <f t="shared" si="0"/>
        <v>31.45</v>
      </c>
      <c r="F14" s="31">
        <f t="shared" si="0"/>
        <v>117.84</v>
      </c>
      <c r="G14" s="55">
        <f t="shared" si="0"/>
        <v>794</v>
      </c>
      <c r="H14" s="42">
        <f t="shared" si="0"/>
        <v>0.15</v>
      </c>
      <c r="I14" s="56">
        <f t="shared" si="0"/>
        <v>1.57</v>
      </c>
      <c r="J14" s="42">
        <f t="shared" si="0"/>
        <v>0.12</v>
      </c>
      <c r="K14" s="42">
        <f t="shared" si="0"/>
        <v>0.37</v>
      </c>
      <c r="L14" s="42">
        <f t="shared" si="0"/>
        <v>449.5</v>
      </c>
      <c r="M14" s="42">
        <f t="shared" si="0"/>
        <v>416.1</v>
      </c>
      <c r="N14" s="42">
        <f t="shared" si="0"/>
        <v>59.49</v>
      </c>
      <c r="O14" s="42">
        <f t="shared" si="0"/>
        <v>1.84</v>
      </c>
    </row>
    <row r="15" spans="1:15" x14ac:dyDescent="0.25">
      <c r="A15" s="11"/>
      <c r="B15" s="31" t="s">
        <v>29</v>
      </c>
      <c r="C15" s="11"/>
      <c r="D15" s="11"/>
      <c r="E15" s="11"/>
      <c r="F15" s="11"/>
      <c r="G15" s="74"/>
      <c r="H15" s="33"/>
      <c r="I15" s="34"/>
      <c r="J15" s="33"/>
      <c r="K15" s="33"/>
      <c r="L15" s="33"/>
      <c r="M15" s="33"/>
      <c r="N15" s="33"/>
      <c r="O15" s="33"/>
    </row>
    <row r="16" spans="1:15" x14ac:dyDescent="0.25">
      <c r="A16" s="11">
        <v>29</v>
      </c>
      <c r="B16" s="41" t="s">
        <v>103</v>
      </c>
      <c r="C16" s="33">
        <v>60</v>
      </c>
      <c r="D16" s="33">
        <f>C16*0.011</f>
        <v>0.65999999999999992</v>
      </c>
      <c r="E16" s="33">
        <f>C16*0.002</f>
        <v>0.12</v>
      </c>
      <c r="F16" s="33">
        <f>C16*0.038</f>
        <v>2.2799999999999998</v>
      </c>
      <c r="G16" s="34">
        <f>C16*0.24</f>
        <v>14.399999999999999</v>
      </c>
      <c r="H16" s="33">
        <f>C16*0.0006</f>
        <v>3.5999999999999997E-2</v>
      </c>
      <c r="I16" s="34">
        <f>C16*0.25</f>
        <v>15</v>
      </c>
      <c r="J16" s="33">
        <v>0</v>
      </c>
      <c r="K16" s="33">
        <f>C16*0.0004</f>
        <v>2.4E-2</v>
      </c>
      <c r="L16" s="33">
        <f>C16*0.14</f>
        <v>8.4</v>
      </c>
      <c r="M16" s="33">
        <f>C16*0.26</f>
        <v>15.600000000000001</v>
      </c>
      <c r="N16" s="33">
        <f>C16*0.2</f>
        <v>12</v>
      </c>
      <c r="O16" s="33">
        <f>C16*0.009</f>
        <v>0.53999999999999992</v>
      </c>
    </row>
    <row r="17" spans="1:15" ht="41.25" x14ac:dyDescent="0.25">
      <c r="A17" s="38">
        <v>106</v>
      </c>
      <c r="B17" s="36" t="s">
        <v>64</v>
      </c>
      <c r="C17" s="38">
        <v>220</v>
      </c>
      <c r="D17" s="33">
        <f>C17*0.0269818</f>
        <v>5.9359960000000003</v>
      </c>
      <c r="E17" s="33">
        <f>C17*0.01730909</f>
        <v>3.8079997999999997</v>
      </c>
      <c r="F17" s="33">
        <f>C17*0.07272727</f>
        <v>15.9999994</v>
      </c>
      <c r="G17" s="34">
        <f>C17*0.5672727</f>
        <v>124.799994</v>
      </c>
      <c r="H17" s="33">
        <f>C17*0.00061818</f>
        <v>0.1359996</v>
      </c>
      <c r="I17" s="34">
        <f>C17*0.0883636</f>
        <v>19.439992</v>
      </c>
      <c r="J17" s="33">
        <f>C17*0.00010909</f>
        <v>2.3999800000000002E-2</v>
      </c>
      <c r="K17" s="33">
        <f>C17*0.00050909</f>
        <v>0.11199980000000001</v>
      </c>
      <c r="L17" s="33">
        <f>C17*0.103963636</f>
        <v>22.87199992</v>
      </c>
      <c r="M17" s="33">
        <f>C17*0.51472727</f>
        <v>113.23999939999999</v>
      </c>
      <c r="N17" s="33">
        <f>C17*0.1465454545</f>
        <v>32.239999990000001</v>
      </c>
      <c r="O17" s="33">
        <f>C17*0.004981818</f>
        <v>1.0959999599999999</v>
      </c>
    </row>
    <row r="18" spans="1:15" ht="25.5" x14ac:dyDescent="0.25">
      <c r="A18" s="11">
        <v>268</v>
      </c>
      <c r="B18" s="41" t="s">
        <v>94</v>
      </c>
      <c r="C18" s="11">
        <v>90</v>
      </c>
      <c r="D18" s="11">
        <f>C18*0.14</f>
        <v>12.600000000000001</v>
      </c>
      <c r="E18" s="11">
        <f>C18*0.23</f>
        <v>20.7</v>
      </c>
      <c r="F18" s="11">
        <f>C18*0.12</f>
        <v>10.799999999999999</v>
      </c>
      <c r="G18" s="74">
        <f>C18*3.15</f>
        <v>283.5</v>
      </c>
      <c r="H18" s="33">
        <f>C18*0.001</f>
        <v>0.09</v>
      </c>
      <c r="I18" s="34">
        <v>0</v>
      </c>
      <c r="J18" s="33">
        <f>C18*0.4</f>
        <v>36</v>
      </c>
      <c r="K18" s="33">
        <v>0</v>
      </c>
      <c r="L18" s="33">
        <f>C18*0.11</f>
        <v>9.9</v>
      </c>
      <c r="M18" s="33">
        <f>C18*1.6</f>
        <v>144</v>
      </c>
      <c r="N18" s="33">
        <f>C18*0.29</f>
        <v>26.099999999999998</v>
      </c>
      <c r="O18" s="33">
        <f>C18*0.024</f>
        <v>2.16</v>
      </c>
    </row>
    <row r="19" spans="1:15" ht="30" x14ac:dyDescent="0.25">
      <c r="A19" s="11">
        <v>312</v>
      </c>
      <c r="B19" s="69" t="s">
        <v>30</v>
      </c>
      <c r="C19" s="11">
        <v>150</v>
      </c>
      <c r="D19" s="11">
        <f>C19*0.0216</f>
        <v>3.24</v>
      </c>
      <c r="E19" s="11">
        <f>C19*0.0373</f>
        <v>5.5949999999999998</v>
      </c>
      <c r="F19" s="11">
        <f>C19*0.147</f>
        <v>22.049999999999997</v>
      </c>
      <c r="G19" s="94">
        <f>C19*1.04</f>
        <v>156</v>
      </c>
      <c r="H19" s="33">
        <f>C19*0.001</f>
        <v>0.15</v>
      </c>
      <c r="I19" s="34">
        <f>C19*0.173</f>
        <v>25.95</v>
      </c>
      <c r="J19" s="33">
        <f>C19*0.0002</f>
        <v>3.0000000000000002E-2</v>
      </c>
      <c r="K19" s="33">
        <f>C19*0.0008</f>
        <v>0.12000000000000001</v>
      </c>
      <c r="L19" s="33">
        <f>C19*0.4633</f>
        <v>69.495000000000005</v>
      </c>
      <c r="M19" s="33">
        <f>C19*0.6447</f>
        <v>96.705000000000013</v>
      </c>
      <c r="N19" s="33">
        <f>C19*0.2299</f>
        <v>34.484999999999999</v>
      </c>
      <c r="O19" s="33">
        <f>C19*0.0093</f>
        <v>1.3949999999999998</v>
      </c>
    </row>
    <row r="20" spans="1:15" ht="26.25" x14ac:dyDescent="0.25">
      <c r="A20" s="11">
        <v>349</v>
      </c>
      <c r="B20" s="3" t="s">
        <v>82</v>
      </c>
      <c r="C20" s="11">
        <v>200</v>
      </c>
      <c r="D20" s="11">
        <v>0</v>
      </c>
      <c r="E20" s="11">
        <v>0</v>
      </c>
      <c r="F20" s="11">
        <v>9.98</v>
      </c>
      <c r="G20" s="74">
        <v>104</v>
      </c>
      <c r="H20" s="33">
        <v>0</v>
      </c>
      <c r="I20" s="34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</row>
    <row r="21" spans="1:15" x14ac:dyDescent="0.25">
      <c r="A21" s="9"/>
      <c r="B21" s="20" t="s">
        <v>26</v>
      </c>
      <c r="C21" s="9">
        <v>35</v>
      </c>
      <c r="D21" s="9">
        <v>2.31</v>
      </c>
      <c r="E21" s="9">
        <v>0.39</v>
      </c>
      <c r="F21" s="9">
        <v>14.35</v>
      </c>
      <c r="G21" s="18">
        <v>72.099999999999994</v>
      </c>
      <c r="H21" s="17"/>
      <c r="I21" s="19"/>
      <c r="J21" s="17"/>
      <c r="K21" s="17"/>
      <c r="L21" s="17"/>
      <c r="M21" s="17"/>
      <c r="N21" s="17"/>
      <c r="O21" s="17"/>
    </row>
    <row r="22" spans="1:15" x14ac:dyDescent="0.25">
      <c r="A22" s="9"/>
      <c r="B22" s="20" t="s">
        <v>31</v>
      </c>
      <c r="C22" s="9">
        <v>30</v>
      </c>
      <c r="D22" s="9">
        <v>2</v>
      </c>
      <c r="E22" s="9">
        <v>0.7</v>
      </c>
      <c r="F22" s="9">
        <v>13.7</v>
      </c>
      <c r="G22" s="18">
        <v>70.5</v>
      </c>
      <c r="H22" s="17"/>
      <c r="I22" s="19"/>
      <c r="J22" s="17"/>
      <c r="K22" s="17"/>
      <c r="L22" s="17"/>
      <c r="M22" s="17"/>
      <c r="N22" s="17"/>
      <c r="O22" s="17"/>
    </row>
    <row r="23" spans="1:15" x14ac:dyDescent="0.25">
      <c r="A23" s="9">
        <v>389</v>
      </c>
      <c r="B23" s="20" t="s">
        <v>105</v>
      </c>
      <c r="C23" s="9">
        <v>200</v>
      </c>
      <c r="D23" s="9">
        <v>0</v>
      </c>
      <c r="E23" s="9">
        <v>0</v>
      </c>
      <c r="F23" s="9">
        <v>20.2</v>
      </c>
      <c r="G23" s="18">
        <v>84.8</v>
      </c>
      <c r="H23" s="17">
        <v>0.02</v>
      </c>
      <c r="I23" s="19">
        <v>4</v>
      </c>
      <c r="J23" s="28">
        <v>0</v>
      </c>
      <c r="K23" s="17">
        <v>0</v>
      </c>
      <c r="L23" s="17">
        <v>14</v>
      </c>
      <c r="M23" s="17">
        <v>14</v>
      </c>
      <c r="N23" s="17">
        <v>8</v>
      </c>
      <c r="O23" s="17">
        <v>2.8</v>
      </c>
    </row>
    <row r="24" spans="1:15" x14ac:dyDescent="0.25">
      <c r="A24" s="9"/>
      <c r="B24" s="67" t="s">
        <v>34</v>
      </c>
      <c r="C24" s="23">
        <f>SUM(C16:C23)</f>
        <v>985</v>
      </c>
      <c r="D24" s="23">
        <f t="shared" ref="D24:O24" si="1">SUM(D16:D23)</f>
        <v>26.745996000000002</v>
      </c>
      <c r="E24" s="23">
        <f t="shared" si="1"/>
        <v>31.312999799999996</v>
      </c>
      <c r="F24" s="23">
        <f t="shared" si="1"/>
        <v>109.35999939999999</v>
      </c>
      <c r="G24" s="24">
        <f t="shared" si="1"/>
        <v>910.09999400000004</v>
      </c>
      <c r="H24" s="25">
        <f t="shared" si="1"/>
        <v>0.43199960000000004</v>
      </c>
      <c r="I24" s="26">
        <f t="shared" si="1"/>
        <v>64.389992000000007</v>
      </c>
      <c r="J24" s="25">
        <f t="shared" si="1"/>
        <v>36.0539998</v>
      </c>
      <c r="K24" s="25">
        <f t="shared" si="1"/>
        <v>0.2559998</v>
      </c>
      <c r="L24" s="25">
        <f t="shared" si="1"/>
        <v>124.66699991999999</v>
      </c>
      <c r="M24" s="25">
        <f t="shared" si="1"/>
        <v>383.54499940000005</v>
      </c>
      <c r="N24" s="25">
        <f t="shared" si="1"/>
        <v>112.82499998999999</v>
      </c>
      <c r="O24" s="25">
        <f t="shared" si="1"/>
        <v>7.9909999599999999</v>
      </c>
    </row>
    <row r="25" spans="1:15" x14ac:dyDescent="0.25">
      <c r="A25" s="23"/>
      <c r="B25" s="22" t="s">
        <v>33</v>
      </c>
      <c r="C25" s="23">
        <f>C14+C24</f>
        <v>1485</v>
      </c>
      <c r="D25" s="23">
        <f t="shared" ref="D25:O25" si="2">D24+D14</f>
        <v>57.905996000000002</v>
      </c>
      <c r="E25" s="23">
        <f t="shared" si="2"/>
        <v>62.762999799999996</v>
      </c>
      <c r="F25" s="23">
        <f t="shared" si="2"/>
        <v>227.1999994</v>
      </c>
      <c r="G25" s="24">
        <f t="shared" si="2"/>
        <v>1704.0999940000002</v>
      </c>
      <c r="H25" s="25">
        <f t="shared" si="2"/>
        <v>0.58199960000000006</v>
      </c>
      <c r="I25" s="26">
        <f t="shared" si="2"/>
        <v>65.959992</v>
      </c>
      <c r="J25" s="29">
        <f t="shared" si="2"/>
        <v>36.173999799999997</v>
      </c>
      <c r="K25" s="25">
        <f t="shared" si="2"/>
        <v>0.6259998</v>
      </c>
      <c r="L25" s="25">
        <f t="shared" si="2"/>
        <v>574.16699991999997</v>
      </c>
      <c r="M25" s="25">
        <f t="shared" si="2"/>
        <v>799.64499940000007</v>
      </c>
      <c r="N25" s="25">
        <f t="shared" si="2"/>
        <v>172.31499998999999</v>
      </c>
      <c r="O25" s="25">
        <f t="shared" si="2"/>
        <v>9.8309999599999998</v>
      </c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4" zoomScaleNormal="100" workbookViewId="0">
      <selection activeCell="B13" sqref="B13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8.75" x14ac:dyDescent="0.3">
      <c r="F1" s="7" t="s">
        <v>0</v>
      </c>
      <c r="G1" s="1"/>
      <c r="H1" s="2"/>
    </row>
    <row r="2" spans="1:15" ht="15.75" x14ac:dyDescent="0.25">
      <c r="A2" s="6" t="s">
        <v>1</v>
      </c>
      <c r="B2" s="6"/>
    </row>
    <row r="3" spans="1:15" ht="15.75" x14ac:dyDescent="0.25">
      <c r="A3" s="6" t="s">
        <v>2</v>
      </c>
      <c r="B3" s="6"/>
    </row>
    <row r="4" spans="1:15" ht="15.75" x14ac:dyDescent="0.25">
      <c r="A4" s="6" t="s">
        <v>3</v>
      </c>
      <c r="B4" s="6" t="s">
        <v>99</v>
      </c>
    </row>
    <row r="5" spans="1:15" ht="15.75" x14ac:dyDescent="0.25">
      <c r="A5" s="6" t="s">
        <v>58</v>
      </c>
      <c r="B5" s="6"/>
    </row>
    <row r="6" spans="1:15" ht="45" customHeight="1" x14ac:dyDescent="0.25">
      <c r="A6" s="106" t="s">
        <v>5</v>
      </c>
      <c r="B6" s="107" t="s">
        <v>6</v>
      </c>
      <c r="C6" s="106" t="s">
        <v>7</v>
      </c>
      <c r="D6" s="103" t="s">
        <v>8</v>
      </c>
      <c r="E6" s="104"/>
      <c r="F6" s="105"/>
      <c r="G6" s="109" t="s">
        <v>12</v>
      </c>
      <c r="H6" s="103" t="s">
        <v>13</v>
      </c>
      <c r="I6" s="104"/>
      <c r="J6" s="104"/>
      <c r="K6" s="105"/>
      <c r="L6" s="103" t="s">
        <v>18</v>
      </c>
      <c r="M6" s="104"/>
      <c r="N6" s="104"/>
      <c r="O6" s="105"/>
    </row>
    <row r="7" spans="1:15" x14ac:dyDescent="0.25">
      <c r="A7" s="106"/>
      <c r="B7" s="108"/>
      <c r="C7" s="106"/>
      <c r="D7" s="9" t="s">
        <v>9</v>
      </c>
      <c r="E7" s="9" t="s">
        <v>10</v>
      </c>
      <c r="F7" s="9" t="s">
        <v>11</v>
      </c>
      <c r="G7" s="110"/>
      <c r="H7" s="9" t="s">
        <v>14</v>
      </c>
      <c r="I7" s="72" t="s">
        <v>15</v>
      </c>
      <c r="J7" s="11" t="s">
        <v>16</v>
      </c>
      <c r="K7" s="12" t="s">
        <v>17</v>
      </c>
      <c r="L7" s="9" t="s">
        <v>19</v>
      </c>
      <c r="M7" s="9" t="s">
        <v>20</v>
      </c>
      <c r="N7" s="9" t="s">
        <v>21</v>
      </c>
      <c r="O7" s="9" t="s">
        <v>22</v>
      </c>
    </row>
    <row r="8" spans="1:15" ht="15.75" x14ac:dyDescent="0.25">
      <c r="A8" s="73"/>
      <c r="B8" s="14" t="s">
        <v>28</v>
      </c>
      <c r="C8" s="73"/>
      <c r="D8" s="9"/>
      <c r="E8" s="9"/>
      <c r="F8" s="9"/>
      <c r="G8" s="15"/>
      <c r="H8" s="9"/>
      <c r="I8" s="72"/>
      <c r="J8" s="11"/>
      <c r="K8" s="12"/>
      <c r="L8" s="9"/>
      <c r="M8" s="9"/>
      <c r="N8" s="9"/>
      <c r="O8" s="9"/>
    </row>
    <row r="9" spans="1:15" x14ac:dyDescent="0.25">
      <c r="A9" s="9" t="s">
        <v>60</v>
      </c>
      <c r="B9" s="16" t="s">
        <v>23</v>
      </c>
      <c r="C9" s="9">
        <v>50</v>
      </c>
      <c r="D9" s="17">
        <v>5.76</v>
      </c>
      <c r="E9" s="17">
        <v>5.25</v>
      </c>
      <c r="F9" s="17">
        <v>14.94</v>
      </c>
      <c r="G9" s="18">
        <v>133</v>
      </c>
      <c r="H9" s="17">
        <v>0.05</v>
      </c>
      <c r="I9" s="19">
        <v>0.24</v>
      </c>
      <c r="J9" s="17">
        <v>0.03</v>
      </c>
      <c r="K9" s="17">
        <v>0.02</v>
      </c>
      <c r="L9" s="17">
        <v>156.6</v>
      </c>
      <c r="M9" s="17">
        <v>106.5</v>
      </c>
      <c r="N9" s="17">
        <v>17.399999999999999</v>
      </c>
      <c r="O9" s="17">
        <v>0.76</v>
      </c>
    </row>
    <row r="10" spans="1:15" x14ac:dyDescent="0.25">
      <c r="A10" s="12">
        <v>227</v>
      </c>
      <c r="B10" s="20" t="s">
        <v>115</v>
      </c>
      <c r="C10" s="9">
        <v>105</v>
      </c>
      <c r="D10" s="9">
        <v>8.0299999999999994</v>
      </c>
      <c r="E10" s="9">
        <v>15.13</v>
      </c>
      <c r="F10" s="9">
        <v>0.1</v>
      </c>
      <c r="G10" s="18">
        <v>160.5</v>
      </c>
      <c r="H10" s="17">
        <v>0.05</v>
      </c>
      <c r="I10" s="19">
        <v>21.5</v>
      </c>
      <c r="J10" s="17">
        <v>0.05</v>
      </c>
      <c r="K10" s="17">
        <v>0.05</v>
      </c>
      <c r="L10" s="17">
        <v>8.75</v>
      </c>
      <c r="M10" s="17">
        <v>81.099999999999994</v>
      </c>
      <c r="N10" s="17">
        <v>10.67</v>
      </c>
      <c r="O10" s="17">
        <v>0.46</v>
      </c>
    </row>
    <row r="11" spans="1:15" ht="30" x14ac:dyDescent="0.25">
      <c r="A11" s="12">
        <v>203</v>
      </c>
      <c r="B11" s="21" t="s">
        <v>24</v>
      </c>
      <c r="C11" s="9">
        <v>180</v>
      </c>
      <c r="D11" s="9">
        <f>C11*0.0365</f>
        <v>6.5699999999999994</v>
      </c>
      <c r="E11" s="9">
        <f>C11*0.0332</f>
        <v>5.976</v>
      </c>
      <c r="F11" s="9">
        <f>C11*0.2325</f>
        <v>41.85</v>
      </c>
      <c r="G11" s="18">
        <f>C11*1.41</f>
        <v>253.79999999999998</v>
      </c>
      <c r="H11" s="17">
        <f>C11*0.0008</f>
        <v>0.14400000000000002</v>
      </c>
      <c r="I11" s="19">
        <v>0</v>
      </c>
      <c r="J11" s="17">
        <f>C11*0.0002</f>
        <v>3.6000000000000004E-2</v>
      </c>
      <c r="K11" s="17">
        <f>C11*0.0003</f>
        <v>5.3999999999999992E-2</v>
      </c>
      <c r="L11" s="17">
        <f>C11*0.273</f>
        <v>49.14</v>
      </c>
      <c r="M11" s="17">
        <f>C11*0.4004</f>
        <v>72.072000000000003</v>
      </c>
      <c r="N11" s="17">
        <f>C11*0.1639</f>
        <v>29.501999999999999</v>
      </c>
      <c r="O11" s="17">
        <f>C11*0.0066</f>
        <v>1.1879999999999999</v>
      </c>
    </row>
    <row r="12" spans="1:15" ht="30" x14ac:dyDescent="0.25">
      <c r="A12" s="9">
        <v>379</v>
      </c>
      <c r="B12" s="21" t="s">
        <v>25</v>
      </c>
      <c r="C12" s="9">
        <v>200</v>
      </c>
      <c r="D12" s="9">
        <v>1.4</v>
      </c>
      <c r="E12" s="9">
        <v>1.6</v>
      </c>
      <c r="F12" s="9">
        <v>22.31</v>
      </c>
      <c r="G12" s="18">
        <v>105</v>
      </c>
      <c r="H12" s="17">
        <v>0.02</v>
      </c>
      <c r="I12" s="19">
        <v>0.65</v>
      </c>
      <c r="J12" s="17">
        <v>0.01</v>
      </c>
      <c r="K12" s="17">
        <v>0</v>
      </c>
      <c r="L12" s="17">
        <v>60.4</v>
      </c>
      <c r="M12" s="17">
        <v>45</v>
      </c>
      <c r="N12" s="17">
        <v>7</v>
      </c>
      <c r="O12" s="17">
        <v>0.09</v>
      </c>
    </row>
    <row r="13" spans="1:15" x14ac:dyDescent="0.25">
      <c r="A13" s="9"/>
      <c r="B13" s="20" t="s">
        <v>26</v>
      </c>
      <c r="C13" s="9">
        <v>35</v>
      </c>
      <c r="D13" s="9">
        <v>2.31</v>
      </c>
      <c r="E13" s="9">
        <v>0.39</v>
      </c>
      <c r="F13" s="9">
        <v>14.35</v>
      </c>
      <c r="G13" s="18">
        <v>72.099999999999994</v>
      </c>
      <c r="H13" s="17"/>
      <c r="I13" s="19"/>
      <c r="J13" s="17"/>
      <c r="K13" s="17"/>
      <c r="L13" s="17"/>
      <c r="M13" s="17"/>
      <c r="N13" s="17"/>
      <c r="O13" s="17"/>
    </row>
    <row r="14" spans="1:15" x14ac:dyDescent="0.25">
      <c r="A14" s="9"/>
      <c r="B14" s="20" t="s">
        <v>31</v>
      </c>
      <c r="C14" s="9">
        <v>30</v>
      </c>
      <c r="D14" s="9">
        <v>2</v>
      </c>
      <c r="E14" s="9">
        <v>0.7</v>
      </c>
      <c r="F14" s="9">
        <v>13.7</v>
      </c>
      <c r="G14" s="18">
        <v>70.5</v>
      </c>
      <c r="H14" s="17"/>
      <c r="I14" s="19"/>
      <c r="J14" s="17"/>
      <c r="K14" s="17"/>
      <c r="L14" s="17"/>
      <c r="M14" s="17"/>
      <c r="N14" s="17"/>
      <c r="O14" s="17"/>
    </row>
    <row r="15" spans="1:15" x14ac:dyDescent="0.25">
      <c r="A15" s="9"/>
      <c r="B15" s="22" t="s">
        <v>27</v>
      </c>
      <c r="C15" s="9">
        <f>SUM(C9:C14)</f>
        <v>600</v>
      </c>
      <c r="D15" s="23">
        <f t="shared" ref="D15:O15" si="0">SUM(D9:D13)</f>
        <v>24.069999999999997</v>
      </c>
      <c r="E15" s="23">
        <f t="shared" si="0"/>
        <v>28.346000000000004</v>
      </c>
      <c r="F15" s="23">
        <f t="shared" si="0"/>
        <v>93.55</v>
      </c>
      <c r="G15" s="24">
        <f t="shared" si="0"/>
        <v>724.4</v>
      </c>
      <c r="H15" s="25">
        <f t="shared" si="0"/>
        <v>0.26400000000000001</v>
      </c>
      <c r="I15" s="26">
        <f t="shared" si="0"/>
        <v>22.389999999999997</v>
      </c>
      <c r="J15" s="25">
        <f t="shared" si="0"/>
        <v>0.126</v>
      </c>
      <c r="K15" s="25">
        <f t="shared" si="0"/>
        <v>0.124</v>
      </c>
      <c r="L15" s="25">
        <f t="shared" si="0"/>
        <v>274.89</v>
      </c>
      <c r="M15" s="25">
        <f t="shared" si="0"/>
        <v>304.67200000000003</v>
      </c>
      <c r="N15" s="25">
        <f t="shared" si="0"/>
        <v>64.572000000000003</v>
      </c>
      <c r="O15" s="25">
        <f t="shared" si="0"/>
        <v>2.4979999999999998</v>
      </c>
    </row>
    <row r="16" spans="1:15" x14ac:dyDescent="0.25">
      <c r="A16" s="9"/>
      <c r="B16" s="23" t="s">
        <v>29</v>
      </c>
      <c r="C16" s="9"/>
      <c r="D16" s="9"/>
      <c r="E16" s="9"/>
      <c r="F16" s="9"/>
      <c r="G16" s="18"/>
      <c r="H16" s="17"/>
      <c r="I16" s="19"/>
      <c r="J16" s="17"/>
      <c r="K16" s="17"/>
      <c r="L16" s="17"/>
      <c r="M16" s="17"/>
      <c r="N16" s="17"/>
      <c r="O16" s="17"/>
    </row>
    <row r="17" spans="1:15" ht="45" x14ac:dyDescent="0.25">
      <c r="A17" s="11" t="s">
        <v>100</v>
      </c>
      <c r="B17" s="21" t="s">
        <v>101</v>
      </c>
      <c r="C17" s="11">
        <v>100</v>
      </c>
      <c r="D17" s="11">
        <f>C17*0.03</f>
        <v>3</v>
      </c>
      <c r="E17" s="11">
        <f>C17*0.064</f>
        <v>6.4</v>
      </c>
      <c r="F17" s="11">
        <f>C17*0.24</f>
        <v>24</v>
      </c>
      <c r="G17" s="98">
        <f>C17*1.64</f>
        <v>164</v>
      </c>
      <c r="H17" s="33">
        <f>C17*0.0008</f>
        <v>0.08</v>
      </c>
      <c r="I17" s="34">
        <f>C17*0.058</f>
        <v>5.8000000000000007</v>
      </c>
      <c r="J17" s="33">
        <v>0</v>
      </c>
      <c r="K17" s="33">
        <f>C17*0.0006</f>
        <v>0.06</v>
      </c>
      <c r="L17" s="33">
        <f>C17*0.19</f>
        <v>19</v>
      </c>
      <c r="M17" s="33">
        <f>C17*0.39</f>
        <v>39</v>
      </c>
      <c r="N17" s="33">
        <f>C17*0.25</f>
        <v>25</v>
      </c>
      <c r="O17" s="33">
        <f>C17*0.012</f>
        <v>1.2</v>
      </c>
    </row>
    <row r="18" spans="1:15" ht="40.5" x14ac:dyDescent="0.25">
      <c r="A18" s="11">
        <v>102</v>
      </c>
      <c r="B18" s="68" t="s">
        <v>61</v>
      </c>
      <c r="C18" s="11">
        <v>250</v>
      </c>
      <c r="D18" s="11">
        <f>C18*0.02192</f>
        <v>5.4799999999999995</v>
      </c>
      <c r="E18" s="11">
        <f>C18*0.01896</f>
        <v>4.74</v>
      </c>
      <c r="F18" s="11">
        <f>C18*0.07896</f>
        <v>19.740000000000002</v>
      </c>
      <c r="G18" s="74">
        <f>C18*0.584</f>
        <v>146</v>
      </c>
      <c r="H18" s="33">
        <f>C18*0.00092</f>
        <v>0.23</v>
      </c>
      <c r="I18" s="34">
        <f>C18*0.061</f>
        <v>15.25</v>
      </c>
      <c r="J18" s="33">
        <f>C18*0.00008</f>
        <v>0.02</v>
      </c>
      <c r="K18" s="33">
        <f>C18*0.00032</f>
        <v>0.08</v>
      </c>
      <c r="L18" s="33">
        <f>C18*0.17536</f>
        <v>43.839999999999996</v>
      </c>
      <c r="M18" s="33">
        <f>C18*0.43768</f>
        <v>109.42</v>
      </c>
      <c r="N18" s="33">
        <f>C18*0.1612</f>
        <v>40.300000000000004</v>
      </c>
      <c r="O18" s="33">
        <f>C18*0.00808</f>
        <v>2.02</v>
      </c>
    </row>
    <row r="19" spans="1:15" ht="42.75" x14ac:dyDescent="0.25">
      <c r="A19" s="11">
        <v>274</v>
      </c>
      <c r="B19" s="69" t="s">
        <v>62</v>
      </c>
      <c r="C19" s="11">
        <v>105</v>
      </c>
      <c r="D19" s="11">
        <f>C19*0.1456666</f>
        <v>15.294993000000002</v>
      </c>
      <c r="E19" s="11">
        <f>C19*0.155</f>
        <v>16.274999999999999</v>
      </c>
      <c r="F19" s="11">
        <f>C19*0.14</f>
        <v>14.700000000000001</v>
      </c>
      <c r="G19" s="74">
        <f>C19*2.55</f>
        <v>267.75</v>
      </c>
      <c r="H19" s="33">
        <f>C19*0.0008333</f>
        <v>8.7496500000000005E-2</v>
      </c>
      <c r="I19" s="34">
        <f>C19*0.01733333</f>
        <v>1.8199996500000002</v>
      </c>
      <c r="J19" s="33">
        <f>C19*0.0006666</f>
        <v>6.9993E-2</v>
      </c>
      <c r="K19" s="33">
        <f>C19*0.0003333</f>
        <v>3.49965E-2</v>
      </c>
      <c r="L19" s="33">
        <f>C19*0.2535</f>
        <v>26.6175</v>
      </c>
      <c r="M19" s="33">
        <f>C19*1.52716666</f>
        <v>160.35249930000001</v>
      </c>
      <c r="N19" s="33">
        <f>C19*0.28416666</f>
        <v>29.837499300000001</v>
      </c>
      <c r="O19" s="33">
        <f>C19*0.016166666</f>
        <v>1.69749993</v>
      </c>
    </row>
    <row r="20" spans="1:15" ht="30" x14ac:dyDescent="0.25">
      <c r="A20" s="11">
        <v>312</v>
      </c>
      <c r="B20" s="70" t="s">
        <v>30</v>
      </c>
      <c r="C20" s="11">
        <v>180</v>
      </c>
      <c r="D20" s="11">
        <f>C20*0.0216</f>
        <v>3.8880000000000003</v>
      </c>
      <c r="E20" s="11">
        <f>C20*0.0373</f>
        <v>6.7140000000000004</v>
      </c>
      <c r="F20" s="11">
        <f>C20*0.147</f>
        <v>26.459999999999997</v>
      </c>
      <c r="G20" s="74">
        <f>C20*1.04</f>
        <v>187.20000000000002</v>
      </c>
      <c r="H20" s="33">
        <f>C20*0.001</f>
        <v>0.18</v>
      </c>
      <c r="I20" s="34">
        <f>C20*0.173</f>
        <v>31.139999999999997</v>
      </c>
      <c r="J20" s="33">
        <f>C20*0.0002</f>
        <v>3.6000000000000004E-2</v>
      </c>
      <c r="K20" s="33">
        <f>C20*0.0008</f>
        <v>0.14400000000000002</v>
      </c>
      <c r="L20" s="33">
        <f>C20*0.4633</f>
        <v>83.393999999999991</v>
      </c>
      <c r="M20" s="33">
        <f>C20*0.6447</f>
        <v>116.04600000000001</v>
      </c>
      <c r="N20" s="33">
        <f>C20*0.2299</f>
        <v>41.381999999999998</v>
      </c>
      <c r="O20" s="33">
        <f>C20*0.0093</f>
        <v>1.6739999999999999</v>
      </c>
    </row>
    <row r="21" spans="1:15" ht="27.75" x14ac:dyDescent="0.25">
      <c r="A21" s="11" t="s">
        <v>110</v>
      </c>
      <c r="B21" s="68" t="s">
        <v>109</v>
      </c>
      <c r="C21" s="11">
        <v>200</v>
      </c>
      <c r="D21" s="11">
        <v>0</v>
      </c>
      <c r="E21" s="11">
        <v>0</v>
      </c>
      <c r="F21" s="11">
        <v>19.96</v>
      </c>
      <c r="G21" s="85">
        <v>76</v>
      </c>
      <c r="H21" s="33">
        <v>0</v>
      </c>
      <c r="I21" s="71">
        <v>0</v>
      </c>
      <c r="J21" s="33">
        <v>0</v>
      </c>
      <c r="K21" s="33">
        <v>0</v>
      </c>
      <c r="L21" s="33">
        <v>0.4</v>
      </c>
      <c r="M21" s="33">
        <v>0</v>
      </c>
      <c r="N21" s="33">
        <v>0</v>
      </c>
      <c r="O21" s="33">
        <v>0.06</v>
      </c>
    </row>
    <row r="22" spans="1:15" x14ac:dyDescent="0.25">
      <c r="A22" s="9"/>
      <c r="B22" s="20" t="s">
        <v>26</v>
      </c>
      <c r="C22" s="9">
        <v>35</v>
      </c>
      <c r="D22" s="9">
        <v>2.31</v>
      </c>
      <c r="E22" s="9">
        <v>0.39</v>
      </c>
      <c r="F22" s="9">
        <v>14.35</v>
      </c>
      <c r="G22" s="18">
        <v>72.099999999999994</v>
      </c>
      <c r="H22" s="17"/>
      <c r="I22" s="19"/>
      <c r="J22" s="17"/>
      <c r="K22" s="17"/>
      <c r="L22" s="17"/>
      <c r="M22" s="17"/>
      <c r="N22" s="17"/>
      <c r="O22" s="17"/>
    </row>
    <row r="23" spans="1:15" x14ac:dyDescent="0.25">
      <c r="A23" s="9"/>
      <c r="B23" s="20" t="s">
        <v>31</v>
      </c>
      <c r="C23" s="9">
        <v>30</v>
      </c>
      <c r="D23" s="9">
        <v>2</v>
      </c>
      <c r="E23" s="9">
        <v>0.7</v>
      </c>
      <c r="F23" s="9">
        <v>13.7</v>
      </c>
      <c r="G23" s="18">
        <v>70.5</v>
      </c>
      <c r="H23" s="17"/>
      <c r="I23" s="19"/>
      <c r="J23" s="17"/>
      <c r="K23" s="17"/>
      <c r="L23" s="17"/>
      <c r="M23" s="17"/>
      <c r="N23" s="17"/>
      <c r="O23" s="17"/>
    </row>
    <row r="24" spans="1:15" x14ac:dyDescent="0.25">
      <c r="A24" s="23">
        <v>389</v>
      </c>
      <c r="B24" s="20" t="s">
        <v>32</v>
      </c>
      <c r="C24" s="9">
        <v>200</v>
      </c>
      <c r="D24" s="9">
        <v>0</v>
      </c>
      <c r="E24" s="9">
        <v>0</v>
      </c>
      <c r="F24" s="9">
        <v>20.2</v>
      </c>
      <c r="G24" s="18">
        <v>84.8</v>
      </c>
      <c r="H24" s="17">
        <v>0.02</v>
      </c>
      <c r="I24" s="19">
        <v>4</v>
      </c>
      <c r="J24" s="28">
        <v>0</v>
      </c>
      <c r="K24" s="17">
        <v>0</v>
      </c>
      <c r="L24" s="17">
        <v>14</v>
      </c>
      <c r="M24" s="17">
        <v>14</v>
      </c>
      <c r="N24" s="17">
        <v>8</v>
      </c>
      <c r="O24" s="17">
        <v>2.8</v>
      </c>
    </row>
    <row r="25" spans="1:15" x14ac:dyDescent="0.25">
      <c r="A25" s="9"/>
      <c r="B25" s="22" t="s">
        <v>34</v>
      </c>
      <c r="C25" s="9">
        <f>SUM(C17:C24)</f>
        <v>1100</v>
      </c>
      <c r="D25" s="23">
        <f t="shared" ref="D25:O25" si="1">SUM(D17:D24)</f>
        <v>31.972993000000002</v>
      </c>
      <c r="E25" s="23">
        <f t="shared" si="1"/>
        <v>35.219000000000001</v>
      </c>
      <c r="F25" s="23">
        <f t="shared" si="1"/>
        <v>153.10999999999999</v>
      </c>
      <c r="G25" s="24">
        <f t="shared" si="1"/>
        <v>1068.3500000000001</v>
      </c>
      <c r="H25" s="25">
        <f t="shared" si="1"/>
        <v>0.5974965000000001</v>
      </c>
      <c r="I25" s="26">
        <f t="shared" si="1"/>
        <v>58.009999649999997</v>
      </c>
      <c r="J25" s="29">
        <f t="shared" si="1"/>
        <v>0.12599300000000002</v>
      </c>
      <c r="K25" s="25">
        <f t="shared" si="1"/>
        <v>0.31899650000000002</v>
      </c>
      <c r="L25" s="25">
        <f t="shared" si="1"/>
        <v>187.25149999999999</v>
      </c>
      <c r="M25" s="25">
        <f t="shared" si="1"/>
        <v>438.81849930000004</v>
      </c>
      <c r="N25" s="25">
        <f t="shared" si="1"/>
        <v>144.51949930000001</v>
      </c>
      <c r="O25" s="25">
        <f t="shared" si="1"/>
        <v>9.4514999299999989</v>
      </c>
    </row>
    <row r="26" spans="1:15" x14ac:dyDescent="0.25">
      <c r="A26" s="23"/>
      <c r="B26" s="30" t="s">
        <v>33</v>
      </c>
      <c r="C26" s="23">
        <f>C15+C25</f>
        <v>1700</v>
      </c>
      <c r="D26" s="23">
        <f t="shared" ref="D26:O26" si="2">D15+D25</f>
        <v>56.042992999999996</v>
      </c>
      <c r="E26" s="23">
        <f t="shared" si="2"/>
        <v>63.565000000000005</v>
      </c>
      <c r="F26" s="23">
        <f t="shared" si="2"/>
        <v>246.65999999999997</v>
      </c>
      <c r="G26" s="23">
        <f t="shared" si="2"/>
        <v>1792.75</v>
      </c>
      <c r="H26" s="23">
        <f t="shared" si="2"/>
        <v>0.86149650000000011</v>
      </c>
      <c r="I26" s="23">
        <f t="shared" si="2"/>
        <v>80.399999649999998</v>
      </c>
      <c r="J26" s="23">
        <f t="shared" si="2"/>
        <v>0.25199300000000002</v>
      </c>
      <c r="K26" s="23">
        <f t="shared" si="2"/>
        <v>0.44299650000000002</v>
      </c>
      <c r="L26" s="23">
        <f t="shared" si="2"/>
        <v>462.14149999999995</v>
      </c>
      <c r="M26" s="23">
        <f t="shared" si="2"/>
        <v>743.49049930000001</v>
      </c>
      <c r="N26" s="23">
        <f t="shared" si="2"/>
        <v>209.09149930000001</v>
      </c>
      <c r="O26" s="23">
        <f t="shared" si="2"/>
        <v>11.949499929999998</v>
      </c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13" zoomScaleNormal="100" workbookViewId="0">
      <selection activeCell="C25" sqref="C25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8.75" x14ac:dyDescent="0.3">
      <c r="A1" s="5"/>
      <c r="B1" s="5"/>
      <c r="C1" s="5"/>
      <c r="D1" s="5"/>
      <c r="E1" s="5"/>
      <c r="F1" s="7" t="s">
        <v>0</v>
      </c>
      <c r="G1" s="47"/>
      <c r="H1" s="8"/>
      <c r="I1" s="5"/>
      <c r="J1" s="5"/>
      <c r="K1" s="5"/>
      <c r="L1" s="5"/>
      <c r="M1" s="5"/>
      <c r="N1" s="5"/>
      <c r="O1" s="5"/>
    </row>
    <row r="2" spans="1:15" x14ac:dyDescent="0.25">
      <c r="A2" s="5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75" x14ac:dyDescent="0.25">
      <c r="A4" s="5" t="s">
        <v>3</v>
      </c>
      <c r="B4" s="6" t="s">
        <v>99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58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45" customHeight="1" x14ac:dyDescent="0.25">
      <c r="A6" s="119" t="s">
        <v>5</v>
      </c>
      <c r="B6" s="107" t="s">
        <v>6</v>
      </c>
      <c r="C6" s="119" t="s">
        <v>7</v>
      </c>
      <c r="D6" s="103" t="s">
        <v>8</v>
      </c>
      <c r="E6" s="104"/>
      <c r="F6" s="105"/>
      <c r="G6" s="109" t="s">
        <v>12</v>
      </c>
      <c r="H6" s="103" t="s">
        <v>13</v>
      </c>
      <c r="I6" s="104"/>
      <c r="J6" s="104"/>
      <c r="K6" s="105"/>
      <c r="L6" s="103" t="s">
        <v>18</v>
      </c>
      <c r="M6" s="104"/>
      <c r="N6" s="104"/>
      <c r="O6" s="105"/>
    </row>
    <row r="7" spans="1:15" ht="15" customHeight="1" x14ac:dyDescent="0.25">
      <c r="A7" s="120"/>
      <c r="B7" s="108"/>
      <c r="C7" s="120"/>
      <c r="D7" s="9" t="s">
        <v>9</v>
      </c>
      <c r="E7" s="9" t="s">
        <v>10</v>
      </c>
      <c r="F7" s="9" t="s">
        <v>11</v>
      </c>
      <c r="G7" s="110"/>
      <c r="H7" s="9" t="s">
        <v>14</v>
      </c>
      <c r="I7" s="72" t="s">
        <v>15</v>
      </c>
      <c r="J7" s="11" t="s">
        <v>16</v>
      </c>
      <c r="K7" s="12" t="s">
        <v>17</v>
      </c>
      <c r="L7" s="9" t="s">
        <v>19</v>
      </c>
      <c r="M7" s="9" t="s">
        <v>20</v>
      </c>
      <c r="N7" s="9" t="s">
        <v>21</v>
      </c>
      <c r="O7" s="9" t="s">
        <v>22</v>
      </c>
    </row>
    <row r="8" spans="1:15" x14ac:dyDescent="0.25">
      <c r="A8" s="9"/>
      <c r="B8" s="49" t="s">
        <v>28</v>
      </c>
      <c r="C8" s="9"/>
      <c r="D8" s="17"/>
      <c r="E8" s="17"/>
      <c r="F8" s="17"/>
      <c r="G8" s="18"/>
      <c r="H8" s="17"/>
      <c r="I8" s="19"/>
      <c r="J8" s="17"/>
      <c r="K8" s="17"/>
      <c r="L8" s="17"/>
      <c r="M8" s="17"/>
      <c r="N8" s="17"/>
      <c r="O8" s="17"/>
    </row>
    <row r="9" spans="1:15" x14ac:dyDescent="0.25">
      <c r="A9" s="9">
        <v>3</v>
      </c>
      <c r="B9" s="16" t="s">
        <v>23</v>
      </c>
      <c r="C9" s="9">
        <v>50</v>
      </c>
      <c r="D9" s="33">
        <v>5.76</v>
      </c>
      <c r="E9" s="33">
        <v>5.25</v>
      </c>
      <c r="F9" s="33">
        <v>14.94</v>
      </c>
      <c r="G9" s="74">
        <v>133</v>
      </c>
      <c r="H9" s="33">
        <v>0.05</v>
      </c>
      <c r="I9" s="34">
        <v>0.24</v>
      </c>
      <c r="J9" s="33">
        <v>0.03</v>
      </c>
      <c r="K9" s="33">
        <v>0.02</v>
      </c>
      <c r="L9" s="33">
        <v>156.6</v>
      </c>
      <c r="M9" s="33">
        <v>106.5</v>
      </c>
      <c r="N9" s="33">
        <v>17.399999999999999</v>
      </c>
      <c r="O9" s="33">
        <v>0.76</v>
      </c>
    </row>
    <row r="10" spans="1:15" ht="51" x14ac:dyDescent="0.25">
      <c r="A10" s="11">
        <v>222</v>
      </c>
      <c r="B10" s="68" t="s">
        <v>93</v>
      </c>
      <c r="C10" s="11">
        <v>245</v>
      </c>
      <c r="D10" s="11">
        <v>26.61</v>
      </c>
      <c r="E10" s="11">
        <v>23.88</v>
      </c>
      <c r="F10" s="11">
        <v>74.849999999999994</v>
      </c>
      <c r="G10" s="74">
        <v>511</v>
      </c>
      <c r="H10" s="33">
        <v>0.1</v>
      </c>
      <c r="I10" s="34">
        <v>0.86</v>
      </c>
      <c r="J10" s="33">
        <v>0.1</v>
      </c>
      <c r="K10" s="33">
        <v>0.44</v>
      </c>
      <c r="L10" s="33">
        <v>295.27999999999997</v>
      </c>
      <c r="M10" s="33">
        <v>336.04</v>
      </c>
      <c r="N10" s="33">
        <v>44.56</v>
      </c>
      <c r="O10" s="33">
        <v>1.26</v>
      </c>
    </row>
    <row r="11" spans="1:15" ht="30" x14ac:dyDescent="0.25">
      <c r="A11" s="9">
        <v>379</v>
      </c>
      <c r="B11" s="21" t="s">
        <v>25</v>
      </c>
      <c r="C11" s="9">
        <v>200</v>
      </c>
      <c r="D11" s="9">
        <v>1.4</v>
      </c>
      <c r="E11" s="9">
        <v>1.6</v>
      </c>
      <c r="F11" s="9">
        <v>22.31</v>
      </c>
      <c r="G11" s="18">
        <v>105</v>
      </c>
      <c r="H11" s="17">
        <v>0.02</v>
      </c>
      <c r="I11" s="19">
        <v>0.65</v>
      </c>
      <c r="J11" s="17">
        <v>0.01</v>
      </c>
      <c r="K11" s="17">
        <v>0</v>
      </c>
      <c r="L11" s="17">
        <v>60.4</v>
      </c>
      <c r="M11" s="17">
        <v>45</v>
      </c>
      <c r="N11" s="17">
        <v>7</v>
      </c>
      <c r="O11" s="17">
        <v>0.09</v>
      </c>
    </row>
    <row r="12" spans="1:15" x14ac:dyDescent="0.25">
      <c r="A12" s="11"/>
      <c r="B12" s="20" t="s">
        <v>47</v>
      </c>
      <c r="C12" s="9">
        <v>25</v>
      </c>
      <c r="D12" s="9">
        <v>1.05</v>
      </c>
      <c r="E12" s="9">
        <v>5.0999999999999996</v>
      </c>
      <c r="F12" s="9">
        <v>7.95</v>
      </c>
      <c r="G12" s="18">
        <v>82.5</v>
      </c>
      <c r="H12" s="33"/>
      <c r="I12" s="34"/>
      <c r="J12" s="33"/>
      <c r="K12" s="33"/>
      <c r="L12" s="33"/>
      <c r="M12" s="33"/>
      <c r="N12" s="33"/>
      <c r="O12" s="33"/>
    </row>
    <row r="13" spans="1:15" x14ac:dyDescent="0.25">
      <c r="A13" s="11"/>
      <c r="B13" s="20" t="s">
        <v>31</v>
      </c>
      <c r="C13" s="9">
        <v>30</v>
      </c>
      <c r="D13" s="9">
        <v>2</v>
      </c>
      <c r="E13" s="9">
        <v>0.7</v>
      </c>
      <c r="F13" s="9">
        <v>13.7</v>
      </c>
      <c r="G13" s="18">
        <v>70.5</v>
      </c>
      <c r="H13" s="33"/>
      <c r="I13" s="34"/>
      <c r="J13" s="33"/>
      <c r="K13" s="33"/>
      <c r="L13" s="33"/>
      <c r="M13" s="33"/>
      <c r="N13" s="33"/>
      <c r="O13" s="33"/>
    </row>
    <row r="14" spans="1:15" x14ac:dyDescent="0.25">
      <c r="A14" s="11"/>
      <c r="B14" s="82" t="s">
        <v>34</v>
      </c>
      <c r="C14" s="31">
        <f>SUM(C9:C13)</f>
        <v>550</v>
      </c>
      <c r="D14" s="31">
        <f t="shared" ref="D14:O14" si="0">SUM(D9:D13)</f>
        <v>36.819999999999993</v>
      </c>
      <c r="E14" s="31">
        <f t="shared" si="0"/>
        <v>36.53</v>
      </c>
      <c r="F14" s="31">
        <f t="shared" si="0"/>
        <v>133.75</v>
      </c>
      <c r="G14" s="55">
        <f t="shared" si="0"/>
        <v>902</v>
      </c>
      <c r="H14" s="42">
        <f t="shared" si="0"/>
        <v>0.17</v>
      </c>
      <c r="I14" s="56">
        <f t="shared" si="0"/>
        <v>1.75</v>
      </c>
      <c r="J14" s="42">
        <f t="shared" si="0"/>
        <v>0.14000000000000001</v>
      </c>
      <c r="K14" s="42">
        <f t="shared" si="0"/>
        <v>0.46</v>
      </c>
      <c r="L14" s="42">
        <f t="shared" si="0"/>
        <v>512.28</v>
      </c>
      <c r="M14" s="42">
        <f t="shared" si="0"/>
        <v>487.54</v>
      </c>
      <c r="N14" s="42">
        <f t="shared" si="0"/>
        <v>68.960000000000008</v>
      </c>
      <c r="O14" s="42">
        <f t="shared" si="0"/>
        <v>2.11</v>
      </c>
    </row>
    <row r="15" spans="1:15" x14ac:dyDescent="0.25">
      <c r="A15" s="11"/>
      <c r="B15" s="31" t="s">
        <v>29</v>
      </c>
      <c r="C15" s="11"/>
      <c r="D15" s="11"/>
      <c r="E15" s="11"/>
      <c r="F15" s="11"/>
      <c r="G15" s="74"/>
      <c r="H15" s="33"/>
      <c r="I15" s="34"/>
      <c r="J15" s="33"/>
      <c r="K15" s="33"/>
      <c r="L15" s="33"/>
      <c r="M15" s="33"/>
      <c r="N15" s="33"/>
      <c r="O15" s="33"/>
    </row>
    <row r="16" spans="1:15" x14ac:dyDescent="0.25">
      <c r="A16" s="11">
        <v>29</v>
      </c>
      <c r="B16" s="41" t="s">
        <v>103</v>
      </c>
      <c r="C16" s="33">
        <v>100</v>
      </c>
      <c r="D16" s="33">
        <f>C16*0.011</f>
        <v>1.0999999999999999</v>
      </c>
      <c r="E16" s="33">
        <f>C16*0.002</f>
        <v>0.2</v>
      </c>
      <c r="F16" s="33">
        <f>C16*0.038</f>
        <v>3.8</v>
      </c>
      <c r="G16" s="34">
        <f>C16*0.24</f>
        <v>24</v>
      </c>
      <c r="H16" s="33">
        <f>C16*0.0006</f>
        <v>0.06</v>
      </c>
      <c r="I16" s="34">
        <f>C16*0.25</f>
        <v>25</v>
      </c>
      <c r="J16" s="33">
        <v>0</v>
      </c>
      <c r="K16" s="33">
        <f>C16*0.0004</f>
        <v>0.04</v>
      </c>
      <c r="L16" s="33">
        <f>C16*0.14</f>
        <v>14.000000000000002</v>
      </c>
      <c r="M16" s="33">
        <f>C16*0.26</f>
        <v>26</v>
      </c>
      <c r="N16" s="33">
        <f>C16*0.2</f>
        <v>20</v>
      </c>
      <c r="O16" s="33">
        <f>C16*0.009</f>
        <v>0.89999999999999991</v>
      </c>
    </row>
    <row r="17" spans="1:15" ht="41.25" x14ac:dyDescent="0.25">
      <c r="A17" s="38">
        <v>106</v>
      </c>
      <c r="B17" s="36" t="s">
        <v>64</v>
      </c>
      <c r="C17" s="38">
        <v>250</v>
      </c>
      <c r="D17" s="33">
        <f>C17*0.0269818</f>
        <v>6.7454499999999999</v>
      </c>
      <c r="E17" s="33">
        <f>C17*0.01730909</f>
        <v>4.3272724999999994</v>
      </c>
      <c r="F17" s="33">
        <f>C17*0.07272727</f>
        <v>18.181817499999998</v>
      </c>
      <c r="G17" s="34">
        <f>C17*0.5672727</f>
        <v>141.818175</v>
      </c>
      <c r="H17" s="33">
        <f>C17*0.00061818</f>
        <v>0.15454499999999999</v>
      </c>
      <c r="I17" s="34">
        <f>C17*0.0883636</f>
        <v>22.090900000000001</v>
      </c>
      <c r="J17" s="33">
        <f>C17*0.00010909</f>
        <v>2.7272500000000002E-2</v>
      </c>
      <c r="K17" s="33">
        <f>C17*0.00050909</f>
        <v>0.12727250000000001</v>
      </c>
      <c r="L17" s="33">
        <f>C17*0.103963636</f>
        <v>25.990908999999998</v>
      </c>
      <c r="M17" s="33">
        <f>C17*0.51472727</f>
        <v>128.68181749999999</v>
      </c>
      <c r="N17" s="33">
        <f>C17*0.1465454545</f>
        <v>36.636363625000001</v>
      </c>
      <c r="O17" s="33">
        <f>C17*0.004981818</f>
        <v>1.2454544999999999</v>
      </c>
    </row>
    <row r="18" spans="1:15" ht="25.5" x14ac:dyDescent="0.25">
      <c r="A18" s="11">
        <v>268</v>
      </c>
      <c r="B18" s="41" t="s">
        <v>94</v>
      </c>
      <c r="C18" s="11">
        <v>105</v>
      </c>
      <c r="D18" s="11">
        <f>C18*0.14</f>
        <v>14.700000000000001</v>
      </c>
      <c r="E18" s="11">
        <f>C18*0.23</f>
        <v>24.150000000000002</v>
      </c>
      <c r="F18" s="11">
        <f>C18*0.12</f>
        <v>12.6</v>
      </c>
      <c r="G18" s="84">
        <f>C18*3.15</f>
        <v>330.75</v>
      </c>
      <c r="H18" s="33">
        <f>C18*0.001</f>
        <v>0.105</v>
      </c>
      <c r="I18" s="34">
        <v>0</v>
      </c>
      <c r="J18" s="33">
        <f>C18*0.4</f>
        <v>42</v>
      </c>
      <c r="K18" s="33">
        <v>0</v>
      </c>
      <c r="L18" s="33">
        <f>C18*0.11</f>
        <v>11.55</v>
      </c>
      <c r="M18" s="33">
        <f>C18*1.6</f>
        <v>168</v>
      </c>
      <c r="N18" s="33">
        <f>C18*0.29</f>
        <v>30.45</v>
      </c>
      <c r="O18" s="33">
        <f>C18*0.024</f>
        <v>2.52</v>
      </c>
    </row>
    <row r="19" spans="1:15" ht="30" x14ac:dyDescent="0.25">
      <c r="A19" s="11">
        <v>312</v>
      </c>
      <c r="B19" s="69" t="s">
        <v>30</v>
      </c>
      <c r="C19" s="11">
        <v>180</v>
      </c>
      <c r="D19" s="11">
        <f>C19*0.0216</f>
        <v>3.8880000000000003</v>
      </c>
      <c r="E19" s="11">
        <f>C19*0.0373</f>
        <v>6.7140000000000004</v>
      </c>
      <c r="F19" s="11">
        <f>C19*0.147</f>
        <v>26.459999999999997</v>
      </c>
      <c r="G19" s="94">
        <f>C19*1.04</f>
        <v>187.20000000000002</v>
      </c>
      <c r="H19" s="33">
        <f>C19*0.001</f>
        <v>0.18</v>
      </c>
      <c r="I19" s="34">
        <f>C19*0.173</f>
        <v>31.139999999999997</v>
      </c>
      <c r="J19" s="33">
        <f>C19*0.0002</f>
        <v>3.6000000000000004E-2</v>
      </c>
      <c r="K19" s="33">
        <f>C19*0.0008</f>
        <v>0.14400000000000002</v>
      </c>
      <c r="L19" s="33">
        <f>C19*0.4633</f>
        <v>83.393999999999991</v>
      </c>
      <c r="M19" s="33">
        <f>C19*0.6447</f>
        <v>116.04600000000001</v>
      </c>
      <c r="N19" s="33">
        <f>C19*0.2299</f>
        <v>41.381999999999998</v>
      </c>
      <c r="O19" s="33">
        <f>C19*0.0093</f>
        <v>1.6739999999999999</v>
      </c>
    </row>
    <row r="20" spans="1:15" ht="26.25" x14ac:dyDescent="0.25">
      <c r="A20" s="11">
        <v>349</v>
      </c>
      <c r="B20" s="3" t="s">
        <v>82</v>
      </c>
      <c r="C20" s="11">
        <v>200</v>
      </c>
      <c r="D20" s="11">
        <v>0</v>
      </c>
      <c r="E20" s="11">
        <v>0</v>
      </c>
      <c r="F20" s="11">
        <v>9.98</v>
      </c>
      <c r="G20" s="74">
        <v>104</v>
      </c>
      <c r="H20" s="33">
        <v>0</v>
      </c>
      <c r="I20" s="34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</row>
    <row r="21" spans="1:15" x14ac:dyDescent="0.25">
      <c r="A21" s="9"/>
      <c r="B21" s="20" t="s">
        <v>26</v>
      </c>
      <c r="C21" s="9">
        <v>35</v>
      </c>
      <c r="D21" s="9">
        <v>2.31</v>
      </c>
      <c r="E21" s="9">
        <v>0.39</v>
      </c>
      <c r="F21" s="9">
        <v>14.35</v>
      </c>
      <c r="G21" s="18">
        <v>72.099999999999994</v>
      </c>
      <c r="H21" s="17"/>
      <c r="I21" s="19"/>
      <c r="J21" s="17"/>
      <c r="K21" s="17"/>
      <c r="L21" s="17"/>
      <c r="M21" s="17"/>
      <c r="N21" s="17"/>
      <c r="O21" s="17"/>
    </row>
    <row r="22" spans="1:15" x14ac:dyDescent="0.25">
      <c r="A22" s="9"/>
      <c r="B22" s="20" t="s">
        <v>31</v>
      </c>
      <c r="C22" s="9">
        <v>30</v>
      </c>
      <c r="D22" s="9">
        <v>2</v>
      </c>
      <c r="E22" s="9">
        <v>0.7</v>
      </c>
      <c r="F22" s="9">
        <v>13.7</v>
      </c>
      <c r="G22" s="18">
        <v>70.5</v>
      </c>
      <c r="H22" s="17"/>
      <c r="I22" s="19"/>
      <c r="J22" s="17"/>
      <c r="K22" s="17"/>
      <c r="L22" s="17"/>
      <c r="M22" s="17"/>
      <c r="N22" s="17"/>
      <c r="O22" s="17"/>
    </row>
    <row r="23" spans="1:15" x14ac:dyDescent="0.25">
      <c r="A23" s="9">
        <v>389</v>
      </c>
      <c r="B23" s="20" t="s">
        <v>105</v>
      </c>
      <c r="C23" s="9">
        <v>200</v>
      </c>
      <c r="D23" s="9">
        <v>0</v>
      </c>
      <c r="E23" s="9">
        <v>0</v>
      </c>
      <c r="F23" s="9">
        <v>20.2</v>
      </c>
      <c r="G23" s="18">
        <v>84.8</v>
      </c>
      <c r="H23" s="17">
        <v>0.02</v>
      </c>
      <c r="I23" s="19">
        <v>4</v>
      </c>
      <c r="J23" s="28">
        <v>0</v>
      </c>
      <c r="K23" s="17">
        <v>0</v>
      </c>
      <c r="L23" s="17">
        <v>14</v>
      </c>
      <c r="M23" s="17">
        <v>14</v>
      </c>
      <c r="N23" s="17">
        <v>8</v>
      </c>
      <c r="O23" s="17">
        <v>2.8</v>
      </c>
    </row>
    <row r="24" spans="1:15" x14ac:dyDescent="0.25">
      <c r="A24" s="9"/>
      <c r="B24" s="67" t="s">
        <v>34</v>
      </c>
      <c r="C24" s="23">
        <f>SUM(C16:C23)</f>
        <v>1100</v>
      </c>
      <c r="D24" s="23">
        <f t="shared" ref="D24:O24" si="1">SUM(D16:D23)</f>
        <v>30.743450000000003</v>
      </c>
      <c r="E24" s="23">
        <f t="shared" si="1"/>
        <v>36.481272500000003</v>
      </c>
      <c r="F24" s="23">
        <f t="shared" si="1"/>
        <v>119.2718175</v>
      </c>
      <c r="G24" s="24">
        <f t="shared" si="1"/>
        <v>1015.168175</v>
      </c>
      <c r="H24" s="25">
        <f t="shared" si="1"/>
        <v>0.51954499999999992</v>
      </c>
      <c r="I24" s="26">
        <f t="shared" si="1"/>
        <v>82.230900000000005</v>
      </c>
      <c r="J24" s="25">
        <f t="shared" si="1"/>
        <v>42.063272500000004</v>
      </c>
      <c r="K24" s="25">
        <f t="shared" si="1"/>
        <v>0.31127250000000006</v>
      </c>
      <c r="L24" s="25">
        <f t="shared" si="1"/>
        <v>148.934909</v>
      </c>
      <c r="M24" s="25">
        <f t="shared" si="1"/>
        <v>452.72781749999996</v>
      </c>
      <c r="N24" s="25">
        <f t="shared" si="1"/>
        <v>136.46836362499999</v>
      </c>
      <c r="O24" s="25">
        <f t="shared" si="1"/>
        <v>9.1394544999999994</v>
      </c>
    </row>
    <row r="25" spans="1:15" x14ac:dyDescent="0.25">
      <c r="A25" s="23"/>
      <c r="B25" s="22" t="s">
        <v>33</v>
      </c>
      <c r="C25" s="23">
        <f>C14+C24</f>
        <v>1650</v>
      </c>
      <c r="D25" s="23">
        <f t="shared" ref="D25:O25" si="2">D24+D14</f>
        <v>67.563449999999989</v>
      </c>
      <c r="E25" s="23">
        <f t="shared" si="2"/>
        <v>73.011272500000004</v>
      </c>
      <c r="F25" s="23">
        <f t="shared" si="2"/>
        <v>253.0218175</v>
      </c>
      <c r="G25" s="24">
        <f t="shared" si="2"/>
        <v>1917.168175</v>
      </c>
      <c r="H25" s="25">
        <f t="shared" si="2"/>
        <v>0.68954499999999996</v>
      </c>
      <c r="I25" s="26">
        <f t="shared" si="2"/>
        <v>83.980900000000005</v>
      </c>
      <c r="J25" s="29">
        <f t="shared" si="2"/>
        <v>42.203272500000004</v>
      </c>
      <c r="K25" s="25">
        <f t="shared" si="2"/>
        <v>0.77127250000000003</v>
      </c>
      <c r="L25" s="25">
        <f t="shared" si="2"/>
        <v>661.21490900000003</v>
      </c>
      <c r="M25" s="25">
        <f t="shared" si="2"/>
        <v>940.26781749999998</v>
      </c>
      <c r="N25" s="25">
        <f t="shared" si="2"/>
        <v>205.428363625</v>
      </c>
      <c r="O25" s="25">
        <f t="shared" si="2"/>
        <v>11.249454499999999</v>
      </c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5" sqref="C15"/>
    </sheetView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7" zoomScaleNormal="100" workbookViewId="0">
      <selection activeCell="A12" sqref="A12:O12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8.75" x14ac:dyDescent="0.3">
      <c r="F1" s="7" t="s">
        <v>0</v>
      </c>
      <c r="G1" s="1"/>
      <c r="H1" s="2"/>
    </row>
    <row r="2" spans="1:15" ht="15.75" x14ac:dyDescent="0.25">
      <c r="A2" s="6" t="s">
        <v>36</v>
      </c>
      <c r="B2" s="6" t="s">
        <v>35</v>
      </c>
    </row>
    <row r="3" spans="1:15" ht="15.75" x14ac:dyDescent="0.25">
      <c r="A3" s="6" t="s">
        <v>2</v>
      </c>
      <c r="B3" s="6"/>
    </row>
    <row r="4" spans="1:15" ht="15.75" x14ac:dyDescent="0.25">
      <c r="A4" s="6" t="s">
        <v>3</v>
      </c>
      <c r="B4" s="6" t="s">
        <v>99</v>
      </c>
    </row>
    <row r="5" spans="1:15" ht="15.75" x14ac:dyDescent="0.25">
      <c r="A5" s="6" t="s">
        <v>4</v>
      </c>
      <c r="B5" s="6"/>
    </row>
    <row r="6" spans="1:15" ht="45" customHeight="1" x14ac:dyDescent="0.25">
      <c r="A6" s="106" t="s">
        <v>5</v>
      </c>
      <c r="B6" s="107" t="s">
        <v>6</v>
      </c>
      <c r="C6" s="106" t="s">
        <v>7</v>
      </c>
      <c r="D6" s="103" t="s">
        <v>8</v>
      </c>
      <c r="E6" s="104"/>
      <c r="F6" s="105"/>
      <c r="G6" s="109" t="s">
        <v>12</v>
      </c>
      <c r="H6" s="103" t="s">
        <v>13</v>
      </c>
      <c r="I6" s="104"/>
      <c r="J6" s="104"/>
      <c r="K6" s="105"/>
      <c r="L6" s="103" t="s">
        <v>18</v>
      </c>
      <c r="M6" s="104"/>
      <c r="N6" s="104"/>
      <c r="O6" s="105"/>
    </row>
    <row r="7" spans="1:15" x14ac:dyDescent="0.25">
      <c r="A7" s="106"/>
      <c r="B7" s="108"/>
      <c r="C7" s="106"/>
      <c r="D7" s="9" t="s">
        <v>9</v>
      </c>
      <c r="E7" s="9" t="s">
        <v>10</v>
      </c>
      <c r="F7" s="9" t="s">
        <v>11</v>
      </c>
      <c r="G7" s="110"/>
      <c r="H7" s="9" t="s">
        <v>14</v>
      </c>
      <c r="I7" s="10" t="s">
        <v>15</v>
      </c>
      <c r="J7" s="11" t="s">
        <v>16</v>
      </c>
      <c r="K7" s="12" t="s">
        <v>17</v>
      </c>
      <c r="L7" s="9" t="s">
        <v>19</v>
      </c>
      <c r="M7" s="9" t="s">
        <v>20</v>
      </c>
      <c r="N7" s="9" t="s">
        <v>21</v>
      </c>
      <c r="O7" s="9" t="s">
        <v>22</v>
      </c>
    </row>
    <row r="8" spans="1:15" ht="15.75" x14ac:dyDescent="0.25">
      <c r="A8" s="13"/>
      <c r="B8" s="14" t="s">
        <v>28</v>
      </c>
      <c r="C8" s="13"/>
      <c r="D8" s="9"/>
      <c r="E8" s="9"/>
      <c r="F8" s="9"/>
      <c r="G8" s="15"/>
      <c r="H8" s="9"/>
      <c r="I8" s="10"/>
      <c r="J8" s="11"/>
      <c r="K8" s="12"/>
      <c r="L8" s="9"/>
      <c r="M8" s="9"/>
      <c r="N8" s="9"/>
      <c r="O8" s="9"/>
    </row>
    <row r="9" spans="1:15" x14ac:dyDescent="0.25">
      <c r="A9" s="11">
        <v>71</v>
      </c>
      <c r="B9" s="41" t="s">
        <v>107</v>
      </c>
      <c r="C9" s="33">
        <v>60</v>
      </c>
      <c r="D9" s="33">
        <f>C9*0.011</f>
        <v>0.65999999999999992</v>
      </c>
      <c r="E9" s="33">
        <f>C9*0.002</f>
        <v>0.12</v>
      </c>
      <c r="F9" s="33">
        <f>C9*0.038</f>
        <v>2.2799999999999998</v>
      </c>
      <c r="G9" s="34">
        <f>C9*0.24</f>
        <v>14.399999999999999</v>
      </c>
      <c r="H9" s="33">
        <f>C9*0.0006</f>
        <v>3.5999999999999997E-2</v>
      </c>
      <c r="I9" s="34">
        <f>C9*0.25</f>
        <v>15</v>
      </c>
      <c r="J9" s="33">
        <v>0</v>
      </c>
      <c r="K9" s="33">
        <f>C9*0.0004</f>
        <v>2.4E-2</v>
      </c>
      <c r="L9" s="33">
        <f>C9*0.14</f>
        <v>8.4</v>
      </c>
      <c r="M9" s="33">
        <f>C9*0.26</f>
        <v>15.600000000000001</v>
      </c>
      <c r="N9" s="33">
        <f>C9*0.2</f>
        <v>12</v>
      </c>
      <c r="O9" s="33">
        <f>C9*0.009</f>
        <v>0.53999999999999992</v>
      </c>
    </row>
    <row r="10" spans="1:15" ht="26.25" x14ac:dyDescent="0.25">
      <c r="A10" s="11">
        <v>210</v>
      </c>
      <c r="B10" s="27" t="s">
        <v>40</v>
      </c>
      <c r="C10" s="33">
        <v>164</v>
      </c>
      <c r="D10" s="17">
        <f>C10*0.1003636</f>
        <v>16.459630399999998</v>
      </c>
      <c r="E10" s="17">
        <f>C10*0.1672727</f>
        <v>27.432722800000001</v>
      </c>
      <c r="F10" s="17">
        <f>C10*0.01854545</f>
        <v>3.0414538000000002</v>
      </c>
      <c r="G10" s="19">
        <f>C10*1.981818</f>
        <v>325.01815199999999</v>
      </c>
      <c r="H10" s="17">
        <f>C10*0.00054545</f>
        <v>8.9453799999999986E-2</v>
      </c>
      <c r="I10" s="19">
        <f>C10*0.003454545</f>
        <v>0.56654537999999999</v>
      </c>
      <c r="J10" s="17">
        <f>C10*0.002363636</f>
        <v>0.38763630400000004</v>
      </c>
      <c r="K10" s="17">
        <f>C10*0.00363636</f>
        <v>0.59636303999999996</v>
      </c>
      <c r="L10" s="17">
        <f>C10*0.75818181</f>
        <v>124.34181683999999</v>
      </c>
      <c r="M10" s="17">
        <f>C10*1.6590909</f>
        <v>272.09090759999998</v>
      </c>
      <c r="N10" s="17">
        <f>C10*0.12690909</f>
        <v>20.813090760000001</v>
      </c>
      <c r="O10" s="17">
        <f>C10*0.0185454545</f>
        <v>3.041454538</v>
      </c>
    </row>
    <row r="11" spans="1:15" x14ac:dyDescent="0.25">
      <c r="A11" s="9">
        <v>376</v>
      </c>
      <c r="B11" s="20" t="s">
        <v>37</v>
      </c>
      <c r="C11" s="9">
        <v>215</v>
      </c>
      <c r="D11" s="17">
        <v>0.2</v>
      </c>
      <c r="E11" s="17">
        <v>0.05</v>
      </c>
      <c r="F11" s="17">
        <v>15.01</v>
      </c>
      <c r="G11" s="19">
        <v>57</v>
      </c>
      <c r="H11" s="17">
        <v>0</v>
      </c>
      <c r="I11" s="19">
        <v>0.1</v>
      </c>
      <c r="J11" s="17">
        <v>0</v>
      </c>
      <c r="K11" s="17">
        <v>0</v>
      </c>
      <c r="L11" s="17">
        <v>5.25</v>
      </c>
      <c r="M11" s="17">
        <v>8.24</v>
      </c>
      <c r="N11" s="17">
        <v>4.4000000000000004</v>
      </c>
      <c r="O11" s="17">
        <v>0.86</v>
      </c>
    </row>
    <row r="12" spans="1:15" ht="45" x14ac:dyDescent="0.25">
      <c r="A12" s="11">
        <v>424</v>
      </c>
      <c r="B12" s="21" t="s">
        <v>108</v>
      </c>
      <c r="C12" s="11">
        <v>100</v>
      </c>
      <c r="D12" s="33">
        <v>9.2200000000000006</v>
      </c>
      <c r="E12" s="33">
        <v>5.48</v>
      </c>
      <c r="F12" s="33">
        <v>29.18</v>
      </c>
      <c r="G12" s="34">
        <v>202</v>
      </c>
      <c r="H12" s="33">
        <v>0.08</v>
      </c>
      <c r="I12" s="34">
        <v>0.04</v>
      </c>
      <c r="J12" s="33">
        <v>34</v>
      </c>
      <c r="K12" s="33">
        <v>0.12</v>
      </c>
      <c r="L12" s="33">
        <v>50.8</v>
      </c>
      <c r="M12" s="33">
        <v>90.2</v>
      </c>
      <c r="N12" s="33">
        <v>21.6</v>
      </c>
      <c r="O12" s="33">
        <v>0.9</v>
      </c>
    </row>
    <row r="13" spans="1:15" x14ac:dyDescent="0.25">
      <c r="A13" s="9"/>
      <c r="B13" s="20" t="s">
        <v>31</v>
      </c>
      <c r="C13" s="9">
        <v>30</v>
      </c>
      <c r="D13" s="17">
        <v>2</v>
      </c>
      <c r="E13" s="17">
        <v>0.7</v>
      </c>
      <c r="F13" s="17">
        <v>13.7</v>
      </c>
      <c r="G13" s="19">
        <v>70.5</v>
      </c>
      <c r="H13" s="17"/>
      <c r="I13" s="19"/>
      <c r="J13" s="17"/>
      <c r="K13" s="17"/>
      <c r="L13" s="17"/>
      <c r="M13" s="17"/>
      <c r="N13" s="17"/>
      <c r="O13" s="17"/>
    </row>
    <row r="14" spans="1:15" x14ac:dyDescent="0.25">
      <c r="A14" s="9">
        <v>386</v>
      </c>
      <c r="B14" s="20" t="s">
        <v>71</v>
      </c>
      <c r="C14" s="9">
        <v>200</v>
      </c>
      <c r="D14" s="17">
        <v>3.4</v>
      </c>
      <c r="E14" s="17">
        <v>2.8</v>
      </c>
      <c r="F14" s="17">
        <v>29.8</v>
      </c>
      <c r="G14" s="19">
        <v>105</v>
      </c>
      <c r="H14" s="17"/>
      <c r="I14" s="19"/>
      <c r="J14" s="17"/>
      <c r="K14" s="17"/>
      <c r="L14" s="17"/>
      <c r="M14" s="17"/>
      <c r="N14" s="17"/>
      <c r="O14" s="17"/>
    </row>
    <row r="15" spans="1:15" x14ac:dyDescent="0.25">
      <c r="A15" s="9"/>
      <c r="B15" s="22" t="s">
        <v>34</v>
      </c>
      <c r="C15" s="9">
        <f>SUM(C9:C14)</f>
        <v>769</v>
      </c>
      <c r="D15" s="25">
        <f>SUM(D9:D14)</f>
        <v>31.939630399999999</v>
      </c>
      <c r="E15" s="25">
        <f t="shared" ref="E15:O15" si="0">SUM(E9:E14)</f>
        <v>36.582722799999999</v>
      </c>
      <c r="F15" s="25">
        <f t="shared" si="0"/>
        <v>93.011453799999998</v>
      </c>
      <c r="G15" s="26">
        <f t="shared" si="0"/>
        <v>773.91815199999996</v>
      </c>
      <c r="H15" s="25">
        <f t="shared" si="0"/>
        <v>0.20545379999999996</v>
      </c>
      <c r="I15" s="26">
        <f t="shared" si="0"/>
        <v>15.70654538</v>
      </c>
      <c r="J15" s="25">
        <f t="shared" si="0"/>
        <v>34.387636303999997</v>
      </c>
      <c r="K15" s="25">
        <f t="shared" si="0"/>
        <v>0.74036303999999997</v>
      </c>
      <c r="L15" s="25">
        <f t="shared" si="0"/>
        <v>188.79181683999997</v>
      </c>
      <c r="M15" s="25">
        <f t="shared" si="0"/>
        <v>386.1309076</v>
      </c>
      <c r="N15" s="25">
        <f t="shared" si="0"/>
        <v>58.813090760000001</v>
      </c>
      <c r="O15" s="25">
        <f t="shared" si="0"/>
        <v>5.3414545380000007</v>
      </c>
    </row>
    <row r="16" spans="1:15" ht="15.75" x14ac:dyDescent="0.25">
      <c r="A16" s="9"/>
      <c r="B16" s="35" t="s">
        <v>29</v>
      </c>
      <c r="C16" s="9"/>
      <c r="D16" s="17"/>
      <c r="E16" s="17"/>
      <c r="F16" s="17"/>
      <c r="G16" s="19"/>
      <c r="H16" s="17"/>
      <c r="I16" s="19"/>
      <c r="J16" s="17"/>
      <c r="K16" s="17"/>
      <c r="L16" s="17"/>
      <c r="M16" s="17"/>
      <c r="N16" s="17"/>
      <c r="O16" s="17"/>
    </row>
    <row r="17" spans="1:15" ht="42.75" customHeight="1" x14ac:dyDescent="0.25">
      <c r="A17" s="33">
        <v>19</v>
      </c>
      <c r="B17" s="3" t="s">
        <v>106</v>
      </c>
      <c r="C17" s="11">
        <v>60</v>
      </c>
      <c r="D17" s="11">
        <f>C17*0.02595</f>
        <v>1.5569999999999999</v>
      </c>
      <c r="E17" s="11">
        <f>C17*0.07387</f>
        <v>4.4321999999999999</v>
      </c>
      <c r="F17" s="11">
        <f>C17*0.03233</f>
        <v>1.9398</v>
      </c>
      <c r="G17" s="95">
        <f>C17*0.898</f>
        <v>53.88</v>
      </c>
      <c r="H17" s="33">
        <f>C17*0.0004</f>
        <v>2.4E-2</v>
      </c>
      <c r="I17" s="34">
        <f>C17*0.1729</f>
        <v>10.374000000000001</v>
      </c>
      <c r="J17" s="33">
        <f>C17*0.296</f>
        <v>17.759999999999998</v>
      </c>
      <c r="K17" s="33">
        <f>C17*0.00083</f>
        <v>4.9799999999999997E-2</v>
      </c>
      <c r="L17" s="33">
        <f>C17*0.33211</f>
        <v>19.926600000000001</v>
      </c>
      <c r="M17" s="33">
        <f>C17*0.49822</f>
        <v>29.8932</v>
      </c>
      <c r="N17" s="33">
        <f>C17*0.15043</f>
        <v>9.0258000000000003</v>
      </c>
      <c r="O17" s="33">
        <f>C17*0.00866</f>
        <v>0.51959999999999995</v>
      </c>
    </row>
    <row r="18" spans="1:15" ht="41.25" x14ac:dyDescent="0.25">
      <c r="A18" s="38">
        <v>106</v>
      </c>
      <c r="B18" s="36" t="s">
        <v>64</v>
      </c>
      <c r="C18" s="11">
        <v>220</v>
      </c>
      <c r="D18" s="17">
        <f>C18*0.0269818</f>
        <v>5.9359960000000003</v>
      </c>
      <c r="E18" s="17">
        <f>C18*0.01730909</f>
        <v>3.8079997999999997</v>
      </c>
      <c r="F18" s="17">
        <f>C18*0.07272727</f>
        <v>15.9999994</v>
      </c>
      <c r="G18" s="19">
        <f>C18*0.5672727</f>
        <v>124.799994</v>
      </c>
      <c r="H18" s="17">
        <f>C18*0.00061818</f>
        <v>0.1359996</v>
      </c>
      <c r="I18" s="19">
        <f>C18*0.0883636</f>
        <v>19.439992</v>
      </c>
      <c r="J18" s="17">
        <f>C18*0.00010909</f>
        <v>2.3999800000000002E-2</v>
      </c>
      <c r="K18" s="17">
        <f>C18*0.00050909</f>
        <v>0.11199980000000001</v>
      </c>
      <c r="L18" s="17">
        <f>C18*0.103963636</f>
        <v>22.87199992</v>
      </c>
      <c r="M18" s="17">
        <f>C18*0.51472727</f>
        <v>113.23999939999999</v>
      </c>
      <c r="N18" s="17">
        <f>C18*0.1465454545</f>
        <v>32.239999990000001</v>
      </c>
      <c r="O18" s="17">
        <f>C18*0.004981818</f>
        <v>1.0959999599999999</v>
      </c>
    </row>
    <row r="19" spans="1:15" ht="45" x14ac:dyDescent="0.25">
      <c r="A19" s="39">
        <v>265</v>
      </c>
      <c r="B19" s="4" t="s">
        <v>65</v>
      </c>
      <c r="C19" s="39">
        <v>200</v>
      </c>
      <c r="D19" s="17">
        <f>C19*0.0254</f>
        <v>5.08</v>
      </c>
      <c r="E19" s="17">
        <f>C19*0.0407</f>
        <v>8.14</v>
      </c>
      <c r="F19" s="17">
        <f>C19*0.2575</f>
        <v>51.5</v>
      </c>
      <c r="G19" s="19">
        <f>C19*1.52</f>
        <v>304</v>
      </c>
      <c r="H19" s="17">
        <f>C19*0.0002</f>
        <v>0.04</v>
      </c>
      <c r="I19" s="19">
        <v>0</v>
      </c>
      <c r="J19" s="17">
        <f>C19*0.0002</f>
        <v>0.04</v>
      </c>
      <c r="K19" s="17">
        <f>C19*0.0001</f>
        <v>0.02</v>
      </c>
      <c r="L19" s="17">
        <f>C19*0.2182</f>
        <v>43.64</v>
      </c>
      <c r="M19" s="17">
        <f>C19*0.5485</f>
        <v>109.7</v>
      </c>
      <c r="N19" s="17">
        <f>C19*0.1911</f>
        <v>38.22</v>
      </c>
      <c r="O19" s="17">
        <f>C19*0.0051</f>
        <v>1.02</v>
      </c>
    </row>
    <row r="20" spans="1:15" ht="51.75" x14ac:dyDescent="0.25">
      <c r="A20" s="11">
        <v>357</v>
      </c>
      <c r="B20" s="3" t="s">
        <v>39</v>
      </c>
      <c r="C20" s="11">
        <v>200</v>
      </c>
      <c r="D20" s="33">
        <v>0.24</v>
      </c>
      <c r="E20" s="33">
        <v>0.11</v>
      </c>
      <c r="F20" s="33">
        <v>31.37</v>
      </c>
      <c r="G20" s="34">
        <v>149.80000000000001</v>
      </c>
      <c r="H20" s="33">
        <v>0.01</v>
      </c>
      <c r="I20" s="34">
        <v>48.8</v>
      </c>
      <c r="J20" s="33">
        <v>0</v>
      </c>
      <c r="K20" s="33">
        <v>0</v>
      </c>
      <c r="L20" s="33">
        <v>15.7</v>
      </c>
      <c r="M20" s="33">
        <v>6.34</v>
      </c>
      <c r="N20" s="33">
        <v>2.3199999999999998</v>
      </c>
      <c r="O20" s="33">
        <v>0.27</v>
      </c>
    </row>
    <row r="21" spans="1:15" x14ac:dyDescent="0.25">
      <c r="A21" s="11">
        <v>338</v>
      </c>
      <c r="B21" s="4" t="s">
        <v>51</v>
      </c>
      <c r="C21" s="11">
        <v>200</v>
      </c>
      <c r="D21" s="33">
        <v>3</v>
      </c>
      <c r="E21" s="33">
        <v>1</v>
      </c>
      <c r="F21" s="33">
        <v>42</v>
      </c>
      <c r="G21" s="34">
        <v>192</v>
      </c>
      <c r="H21" s="33">
        <v>0.08</v>
      </c>
      <c r="I21" s="34">
        <v>20</v>
      </c>
      <c r="J21" s="33">
        <v>0</v>
      </c>
      <c r="K21" s="33">
        <v>0</v>
      </c>
      <c r="L21" s="33">
        <v>16</v>
      </c>
      <c r="M21" s="33">
        <v>56</v>
      </c>
      <c r="N21" s="33">
        <v>84</v>
      </c>
      <c r="O21" s="33">
        <v>1.2</v>
      </c>
    </row>
    <row r="22" spans="1:15" x14ac:dyDescent="0.25">
      <c r="A22" s="9"/>
      <c r="B22" s="20" t="s">
        <v>26</v>
      </c>
      <c r="C22" s="9">
        <v>35</v>
      </c>
      <c r="D22" s="17">
        <v>2.31</v>
      </c>
      <c r="E22" s="17">
        <v>0.39</v>
      </c>
      <c r="F22" s="17">
        <v>14.35</v>
      </c>
      <c r="G22" s="19">
        <v>72.099999999999994</v>
      </c>
      <c r="H22" s="17"/>
      <c r="I22" s="19"/>
      <c r="J22" s="17"/>
      <c r="K22" s="17"/>
      <c r="L22" s="17"/>
      <c r="M22" s="17"/>
      <c r="N22" s="17"/>
      <c r="O22" s="17"/>
    </row>
    <row r="23" spans="1:15" x14ac:dyDescent="0.25">
      <c r="A23" s="9"/>
      <c r="B23" s="20" t="s">
        <v>31</v>
      </c>
      <c r="C23" s="9">
        <v>30</v>
      </c>
      <c r="D23" s="17">
        <v>2</v>
      </c>
      <c r="E23" s="17">
        <v>0.7</v>
      </c>
      <c r="F23" s="17">
        <v>13.7</v>
      </c>
      <c r="G23" s="19">
        <v>70.5</v>
      </c>
      <c r="H23" s="17"/>
      <c r="I23" s="19"/>
      <c r="J23" s="17"/>
      <c r="K23" s="17"/>
      <c r="L23" s="17"/>
      <c r="M23" s="17"/>
      <c r="N23" s="17"/>
      <c r="O23" s="17"/>
    </row>
    <row r="24" spans="1:15" x14ac:dyDescent="0.25">
      <c r="A24" s="9"/>
      <c r="B24" s="22" t="s">
        <v>34</v>
      </c>
      <c r="C24" s="23">
        <f>SUM(C17:C23)</f>
        <v>945</v>
      </c>
      <c r="D24" s="25">
        <f t="shared" ref="D24:O24" si="1">SUM(D17:D23)</f>
        <v>20.122996000000001</v>
      </c>
      <c r="E24" s="25">
        <f t="shared" si="1"/>
        <v>18.580199799999999</v>
      </c>
      <c r="F24" s="25">
        <f t="shared" si="1"/>
        <v>170.85979939999999</v>
      </c>
      <c r="G24" s="25">
        <f t="shared" si="1"/>
        <v>967.07999400000006</v>
      </c>
      <c r="H24" s="46">
        <f t="shared" si="1"/>
        <v>0.28999960000000002</v>
      </c>
      <c r="I24" s="26">
        <f t="shared" si="1"/>
        <v>98.613991999999996</v>
      </c>
      <c r="J24" s="25">
        <f t="shared" si="1"/>
        <v>17.823999799999996</v>
      </c>
      <c r="K24" s="25">
        <f t="shared" si="1"/>
        <v>0.18179979999999998</v>
      </c>
      <c r="L24" s="25">
        <f t="shared" si="1"/>
        <v>118.13859992</v>
      </c>
      <c r="M24" s="25">
        <f t="shared" si="1"/>
        <v>315.17319939999999</v>
      </c>
      <c r="N24" s="25">
        <f t="shared" si="1"/>
        <v>165.80579999</v>
      </c>
      <c r="O24" s="25">
        <f t="shared" si="1"/>
        <v>4.1055999600000002</v>
      </c>
    </row>
    <row r="25" spans="1:15" x14ac:dyDescent="0.25">
      <c r="A25" s="9"/>
      <c r="B25" s="22" t="s">
        <v>33</v>
      </c>
      <c r="C25" s="9">
        <f t="shared" ref="C25:H25" si="2">C15+C24</f>
        <v>1714</v>
      </c>
      <c r="D25" s="25">
        <f t="shared" si="2"/>
        <v>52.062626399999999</v>
      </c>
      <c r="E25" s="25">
        <f t="shared" si="2"/>
        <v>55.162922600000002</v>
      </c>
      <c r="F25" s="25">
        <f t="shared" si="2"/>
        <v>263.87125319999996</v>
      </c>
      <c r="G25" s="25">
        <f t="shared" si="2"/>
        <v>1740.9981459999999</v>
      </c>
      <c r="H25" s="46">
        <f t="shared" si="2"/>
        <v>0.49545339999999999</v>
      </c>
      <c r="I25" s="25">
        <f>-I15+I24</f>
        <v>82.907446620000002</v>
      </c>
      <c r="J25" s="25">
        <f t="shared" ref="J25:O25" si="3">J15+J24</f>
        <v>52.211636103999993</v>
      </c>
      <c r="K25" s="25">
        <f t="shared" si="3"/>
        <v>0.92216283999999993</v>
      </c>
      <c r="L25" s="25">
        <f t="shared" si="3"/>
        <v>306.93041675999996</v>
      </c>
      <c r="M25" s="25">
        <f t="shared" si="3"/>
        <v>701.30410699999993</v>
      </c>
      <c r="N25" s="25">
        <f t="shared" si="3"/>
        <v>224.61889074999999</v>
      </c>
      <c r="O25" s="25">
        <f t="shared" si="3"/>
        <v>9.447054498</v>
      </c>
    </row>
    <row r="26" spans="1:15" ht="14.25" customHeight="1" x14ac:dyDescent="0.25"/>
    <row r="27" spans="1:15" ht="15" hidden="1" customHeight="1" x14ac:dyDescent="0.25"/>
    <row r="28" spans="1:15" ht="15" customHeight="1" x14ac:dyDescent="0.25"/>
    <row r="29" spans="1:15" ht="1.5" customHeight="1" x14ac:dyDescent="0.25"/>
    <row r="31" spans="1:15" ht="0.75" customHeight="1" x14ac:dyDescent="0.25"/>
    <row r="32" spans="1:15" ht="0.75" customHeight="1" x14ac:dyDescent="0.25">
      <c r="A32" s="5"/>
      <c r="B32" s="43"/>
      <c r="C32" s="40"/>
      <c r="D32" s="44"/>
      <c r="E32" s="44"/>
      <c r="F32" s="44"/>
      <c r="G32" s="44"/>
      <c r="H32" s="45"/>
      <c r="I32" s="45"/>
      <c r="J32" s="45"/>
      <c r="K32" s="45"/>
      <c r="L32" s="45"/>
      <c r="M32" s="45"/>
      <c r="N32" s="45"/>
      <c r="O32" s="45"/>
    </row>
    <row r="33" spans="1: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workbookViewId="0">
      <selection activeCell="D17" sqref="D17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8.75" x14ac:dyDescent="0.3">
      <c r="F1" s="7" t="s">
        <v>0</v>
      </c>
      <c r="G1" s="1"/>
      <c r="H1" s="2"/>
    </row>
    <row r="2" spans="1:15" ht="15.75" x14ac:dyDescent="0.25">
      <c r="A2" s="6" t="s">
        <v>36</v>
      </c>
      <c r="B2" s="6" t="s">
        <v>35</v>
      </c>
    </row>
    <row r="3" spans="1:15" ht="15.75" x14ac:dyDescent="0.25">
      <c r="A3" s="6" t="s">
        <v>2</v>
      </c>
      <c r="B3" s="6"/>
    </row>
    <row r="4" spans="1:15" ht="15.75" x14ac:dyDescent="0.25">
      <c r="A4" s="6" t="s">
        <v>3</v>
      </c>
      <c r="B4" s="6" t="s">
        <v>99</v>
      </c>
    </row>
    <row r="5" spans="1:15" ht="15.75" x14ac:dyDescent="0.25">
      <c r="A5" s="6" t="s">
        <v>58</v>
      </c>
      <c r="B5" s="6"/>
    </row>
    <row r="6" spans="1:15" ht="45" customHeight="1" x14ac:dyDescent="0.25">
      <c r="A6" s="106" t="s">
        <v>5</v>
      </c>
      <c r="B6" s="107" t="s">
        <v>6</v>
      </c>
      <c r="C6" s="106" t="s">
        <v>7</v>
      </c>
      <c r="D6" s="103" t="s">
        <v>8</v>
      </c>
      <c r="E6" s="104"/>
      <c r="F6" s="105"/>
      <c r="G6" s="109" t="s">
        <v>12</v>
      </c>
      <c r="H6" s="103" t="s">
        <v>13</v>
      </c>
      <c r="I6" s="104"/>
      <c r="J6" s="104"/>
      <c r="K6" s="105"/>
      <c r="L6" s="103" t="s">
        <v>18</v>
      </c>
      <c r="M6" s="104"/>
      <c r="N6" s="104"/>
      <c r="O6" s="105"/>
    </row>
    <row r="7" spans="1:15" x14ac:dyDescent="0.25">
      <c r="A7" s="106"/>
      <c r="B7" s="108"/>
      <c r="C7" s="106"/>
      <c r="D7" s="9" t="s">
        <v>9</v>
      </c>
      <c r="E7" s="9" t="s">
        <v>10</v>
      </c>
      <c r="F7" s="9" t="s">
        <v>11</v>
      </c>
      <c r="G7" s="110"/>
      <c r="H7" s="9" t="s">
        <v>14</v>
      </c>
      <c r="I7" s="72" t="s">
        <v>15</v>
      </c>
      <c r="J7" s="11" t="s">
        <v>16</v>
      </c>
      <c r="K7" s="12" t="s">
        <v>17</v>
      </c>
      <c r="L7" s="9" t="s">
        <v>19</v>
      </c>
      <c r="M7" s="9" t="s">
        <v>20</v>
      </c>
      <c r="N7" s="9" t="s">
        <v>21</v>
      </c>
      <c r="O7" s="9" t="s">
        <v>22</v>
      </c>
    </row>
    <row r="8" spans="1:15" ht="15.75" x14ac:dyDescent="0.25">
      <c r="A8" s="73"/>
      <c r="B8" s="14" t="s">
        <v>28</v>
      </c>
      <c r="C8" s="73"/>
      <c r="D8" s="9"/>
      <c r="E8" s="9"/>
      <c r="F8" s="9"/>
      <c r="G8" s="15"/>
      <c r="H8" s="9"/>
      <c r="I8" s="72"/>
      <c r="J8" s="11"/>
      <c r="K8" s="12"/>
      <c r="L8" s="9"/>
      <c r="M8" s="9"/>
      <c r="N8" s="9"/>
      <c r="O8" s="9"/>
    </row>
    <row r="9" spans="1:15" x14ac:dyDescent="0.25">
      <c r="A9" s="11">
        <v>71</v>
      </c>
      <c r="B9" s="41" t="s">
        <v>107</v>
      </c>
      <c r="C9" s="33">
        <v>100</v>
      </c>
      <c r="D9" s="33">
        <f>C9*0.011</f>
        <v>1.0999999999999999</v>
      </c>
      <c r="E9" s="33">
        <f>C9*0.002</f>
        <v>0.2</v>
      </c>
      <c r="F9" s="33">
        <f>C9*0.038</f>
        <v>3.8</v>
      </c>
      <c r="G9" s="34">
        <f>C9*0.24</f>
        <v>24</v>
      </c>
      <c r="H9" s="33">
        <f>C9*0.0006</f>
        <v>0.06</v>
      </c>
      <c r="I9" s="34">
        <f>C9*0.25</f>
        <v>25</v>
      </c>
      <c r="J9" s="33">
        <v>0</v>
      </c>
      <c r="K9" s="33">
        <f>C9*0.0004</f>
        <v>0.04</v>
      </c>
      <c r="L9" s="33">
        <f>C9*0.14</f>
        <v>14.000000000000002</v>
      </c>
      <c r="M9" s="33">
        <f>C9*0.26</f>
        <v>26</v>
      </c>
      <c r="N9" s="33">
        <f>C9*0.2</f>
        <v>20</v>
      </c>
      <c r="O9" s="33">
        <f>C9*0.009</f>
        <v>0.89999999999999991</v>
      </c>
    </row>
    <row r="10" spans="1:15" ht="26.25" x14ac:dyDescent="0.25">
      <c r="A10" s="11">
        <v>210</v>
      </c>
      <c r="B10" s="27" t="s">
        <v>40</v>
      </c>
      <c r="C10" s="33">
        <v>164</v>
      </c>
      <c r="D10" s="17">
        <f>C10*0.1003636</f>
        <v>16.459630399999998</v>
      </c>
      <c r="E10" s="17">
        <f>C10*0.1672727</f>
        <v>27.432722800000001</v>
      </c>
      <c r="F10" s="17">
        <f>C10*0.01854545</f>
        <v>3.0414538000000002</v>
      </c>
      <c r="G10" s="19">
        <f>C10*1.981818</f>
        <v>325.01815199999999</v>
      </c>
      <c r="H10" s="17">
        <f>C10*0.00054545</f>
        <v>8.9453799999999986E-2</v>
      </c>
      <c r="I10" s="19">
        <f>C10*0.003454545</f>
        <v>0.56654537999999999</v>
      </c>
      <c r="J10" s="17">
        <f>C10*0.002363636</f>
        <v>0.38763630400000004</v>
      </c>
      <c r="K10" s="17">
        <f>C10*0.00363636</f>
        <v>0.59636303999999996</v>
      </c>
      <c r="L10" s="17">
        <f>C10*0.75818181</f>
        <v>124.34181683999999</v>
      </c>
      <c r="M10" s="17">
        <f>C10*1.6590909</f>
        <v>272.09090759999998</v>
      </c>
      <c r="N10" s="17">
        <f>C10*0.12690909</f>
        <v>20.813090760000001</v>
      </c>
      <c r="O10" s="17">
        <f>C10*0.0185454545</f>
        <v>3.041454538</v>
      </c>
    </row>
    <row r="11" spans="1:15" x14ac:dyDescent="0.25">
      <c r="A11" s="9">
        <v>376</v>
      </c>
      <c r="B11" s="20" t="s">
        <v>37</v>
      </c>
      <c r="C11" s="9">
        <v>215</v>
      </c>
      <c r="D11" s="17">
        <v>0.2</v>
      </c>
      <c r="E11" s="17">
        <v>0.05</v>
      </c>
      <c r="F11" s="17">
        <v>15.01</v>
      </c>
      <c r="G11" s="19">
        <v>57</v>
      </c>
      <c r="H11" s="17">
        <v>0</v>
      </c>
      <c r="I11" s="19">
        <v>0.1</v>
      </c>
      <c r="J11" s="17">
        <v>0</v>
      </c>
      <c r="K11" s="17">
        <v>0</v>
      </c>
      <c r="L11" s="17">
        <v>5.25</v>
      </c>
      <c r="M11" s="17">
        <v>8.24</v>
      </c>
      <c r="N11" s="17">
        <v>4.4000000000000004</v>
      </c>
      <c r="O11" s="17">
        <v>0.86</v>
      </c>
    </row>
    <row r="12" spans="1:15" ht="45" x14ac:dyDescent="0.25">
      <c r="A12" s="11">
        <v>424</v>
      </c>
      <c r="B12" s="21" t="s">
        <v>108</v>
      </c>
      <c r="C12" s="11">
        <v>100</v>
      </c>
      <c r="D12" s="33">
        <v>9.2200000000000006</v>
      </c>
      <c r="E12" s="33">
        <v>5.48</v>
      </c>
      <c r="F12" s="33">
        <v>29.18</v>
      </c>
      <c r="G12" s="34">
        <v>202</v>
      </c>
      <c r="H12" s="33">
        <v>0.08</v>
      </c>
      <c r="I12" s="34">
        <v>0.04</v>
      </c>
      <c r="J12" s="33">
        <v>34</v>
      </c>
      <c r="K12" s="33">
        <v>0.12</v>
      </c>
      <c r="L12" s="33">
        <v>50.8</v>
      </c>
      <c r="M12" s="33">
        <v>90.2</v>
      </c>
      <c r="N12" s="33">
        <v>21.6</v>
      </c>
      <c r="O12" s="33">
        <v>0.9</v>
      </c>
    </row>
    <row r="13" spans="1:15" x14ac:dyDescent="0.25">
      <c r="A13" s="9"/>
      <c r="B13" s="20" t="s">
        <v>31</v>
      </c>
      <c r="C13" s="9">
        <v>30</v>
      </c>
      <c r="D13" s="17">
        <v>2</v>
      </c>
      <c r="E13" s="17">
        <v>0.7</v>
      </c>
      <c r="F13" s="17">
        <v>13.7</v>
      </c>
      <c r="G13" s="19">
        <v>70.5</v>
      </c>
      <c r="H13" s="17"/>
      <c r="I13" s="19"/>
      <c r="J13" s="17"/>
      <c r="K13" s="17"/>
      <c r="L13" s="17"/>
      <c r="M13" s="17"/>
      <c r="N13" s="17"/>
      <c r="O13" s="17"/>
    </row>
    <row r="14" spans="1:15" x14ac:dyDescent="0.25">
      <c r="A14" s="9">
        <v>386</v>
      </c>
      <c r="B14" s="20" t="s">
        <v>71</v>
      </c>
      <c r="C14" s="9">
        <v>200</v>
      </c>
      <c r="D14" s="17">
        <v>3.4</v>
      </c>
      <c r="E14" s="17">
        <v>2.8</v>
      </c>
      <c r="F14" s="17">
        <v>29.8</v>
      </c>
      <c r="G14" s="19">
        <v>105</v>
      </c>
      <c r="H14" s="17"/>
      <c r="I14" s="19"/>
      <c r="J14" s="17"/>
      <c r="K14" s="17"/>
      <c r="L14" s="17"/>
      <c r="M14" s="17"/>
      <c r="N14" s="17"/>
      <c r="O14" s="17"/>
    </row>
    <row r="15" spans="1:15" x14ac:dyDescent="0.25">
      <c r="A15" s="9"/>
      <c r="B15" s="22" t="s">
        <v>34</v>
      </c>
      <c r="C15" s="9">
        <f>SUM(C9:C14)</f>
        <v>809</v>
      </c>
      <c r="D15" s="25">
        <f t="shared" ref="D15:O15" si="0">SUM(D9:D14)</f>
        <v>32.379630399999996</v>
      </c>
      <c r="E15" s="25">
        <f t="shared" si="0"/>
        <v>36.662722799999997</v>
      </c>
      <c r="F15" s="25">
        <f t="shared" si="0"/>
        <v>94.531453799999994</v>
      </c>
      <c r="G15" s="26">
        <f t="shared" si="0"/>
        <v>783.51815199999999</v>
      </c>
      <c r="H15" s="25">
        <f t="shared" si="0"/>
        <v>0.22945379999999999</v>
      </c>
      <c r="I15" s="26">
        <f t="shared" si="0"/>
        <v>25.706545380000001</v>
      </c>
      <c r="J15" s="25">
        <f t="shared" si="0"/>
        <v>34.387636303999997</v>
      </c>
      <c r="K15" s="25">
        <f t="shared" si="0"/>
        <v>0.75636303999999999</v>
      </c>
      <c r="L15" s="25">
        <f t="shared" si="0"/>
        <v>194.39181683999999</v>
      </c>
      <c r="M15" s="25">
        <f t="shared" si="0"/>
        <v>396.53090759999998</v>
      </c>
      <c r="N15" s="25">
        <f t="shared" si="0"/>
        <v>66.813090759999994</v>
      </c>
      <c r="O15" s="25">
        <f t="shared" si="0"/>
        <v>5.7014545380000001</v>
      </c>
    </row>
    <row r="16" spans="1:15" ht="15.75" x14ac:dyDescent="0.25">
      <c r="A16" s="9"/>
      <c r="B16" s="35" t="s">
        <v>29</v>
      </c>
      <c r="C16" s="9"/>
      <c r="D16" s="17"/>
      <c r="E16" s="17"/>
      <c r="F16" s="17"/>
      <c r="G16" s="19"/>
      <c r="H16" s="17"/>
      <c r="I16" s="19"/>
      <c r="J16" s="17"/>
      <c r="K16" s="17"/>
      <c r="L16" s="17"/>
      <c r="M16" s="17"/>
      <c r="N16" s="17"/>
      <c r="O16" s="17"/>
    </row>
    <row r="17" spans="1:15" ht="42.75" customHeight="1" x14ac:dyDescent="0.25">
      <c r="A17" s="33">
        <v>19</v>
      </c>
      <c r="B17" s="3" t="s">
        <v>106</v>
      </c>
      <c r="C17" s="11">
        <v>100</v>
      </c>
      <c r="D17" s="11">
        <v>2.5950000000000002</v>
      </c>
      <c r="E17" s="11">
        <v>7.3869999999999996</v>
      </c>
      <c r="F17" s="11">
        <v>3.2330000000000001</v>
      </c>
      <c r="G17" s="99">
        <v>89.8</v>
      </c>
      <c r="H17" s="33">
        <v>0.04</v>
      </c>
      <c r="I17" s="34">
        <v>17.29</v>
      </c>
      <c r="J17" s="33">
        <v>29.6</v>
      </c>
      <c r="K17" s="33">
        <v>8.3000000000000004E-2</v>
      </c>
      <c r="L17" s="33">
        <v>33.210999999999999</v>
      </c>
      <c r="M17" s="33">
        <v>49.822000000000003</v>
      </c>
      <c r="N17" s="33">
        <v>15.042999999999999</v>
      </c>
      <c r="O17" s="33">
        <v>0.86599999999999999</v>
      </c>
    </row>
    <row r="18" spans="1:15" ht="41.25" x14ac:dyDescent="0.25">
      <c r="A18" s="38">
        <v>106</v>
      </c>
      <c r="B18" s="36" t="s">
        <v>64</v>
      </c>
      <c r="C18" s="11">
        <v>250</v>
      </c>
      <c r="D18" s="17">
        <f>C18*0.0269818</f>
        <v>6.7454499999999999</v>
      </c>
      <c r="E18" s="17">
        <f>C18*0.01730909</f>
        <v>4.3272724999999994</v>
      </c>
      <c r="F18" s="17">
        <f>C18*0.07272727</f>
        <v>18.181817499999998</v>
      </c>
      <c r="G18" s="19">
        <f>C18*0.5672727</f>
        <v>141.818175</v>
      </c>
      <c r="H18" s="17">
        <f>C18*0.00061818</f>
        <v>0.15454499999999999</v>
      </c>
      <c r="I18" s="19">
        <f>C18*0.0883636</f>
        <v>22.090900000000001</v>
      </c>
      <c r="J18" s="17">
        <f>C18*0.00010909</f>
        <v>2.7272500000000002E-2</v>
      </c>
      <c r="K18" s="17">
        <f>C18*0.00050909</f>
        <v>0.12727250000000001</v>
      </c>
      <c r="L18" s="17">
        <f>C18*0.103963636</f>
        <v>25.990908999999998</v>
      </c>
      <c r="M18" s="17">
        <f>C18*0.51472727</f>
        <v>128.68181749999999</v>
      </c>
      <c r="N18" s="17">
        <f>C18*0.1465454545</f>
        <v>36.636363625000001</v>
      </c>
      <c r="O18" s="17">
        <f>C18*0.004981818</f>
        <v>1.2454544999999999</v>
      </c>
    </row>
    <row r="19" spans="1:15" ht="45" x14ac:dyDescent="0.25">
      <c r="A19" s="39">
        <v>265</v>
      </c>
      <c r="B19" s="4" t="s">
        <v>65</v>
      </c>
      <c r="C19" s="39">
        <v>200</v>
      </c>
      <c r="D19" s="17">
        <f>C19*0.0254</f>
        <v>5.08</v>
      </c>
      <c r="E19" s="17">
        <f>C19*0.0407</f>
        <v>8.14</v>
      </c>
      <c r="F19" s="17">
        <f>C19*0.2575</f>
        <v>51.5</v>
      </c>
      <c r="G19" s="19">
        <f>C19*1.52</f>
        <v>304</v>
      </c>
      <c r="H19" s="17">
        <f>C19*0.0002</f>
        <v>0.04</v>
      </c>
      <c r="I19" s="19">
        <v>0</v>
      </c>
      <c r="J19" s="17">
        <f>C19*0.0002</f>
        <v>0.04</v>
      </c>
      <c r="K19" s="17">
        <f>C19*0.0001</f>
        <v>0.02</v>
      </c>
      <c r="L19" s="17">
        <f>C19*0.2182</f>
        <v>43.64</v>
      </c>
      <c r="M19" s="17">
        <f>C19*0.5485</f>
        <v>109.7</v>
      </c>
      <c r="N19" s="17">
        <f>C19*0.1911</f>
        <v>38.22</v>
      </c>
      <c r="O19" s="17">
        <f>C19*0.0051</f>
        <v>1.02</v>
      </c>
    </row>
    <row r="20" spans="1:15" ht="51.75" x14ac:dyDescent="0.25">
      <c r="A20" s="11">
        <v>357</v>
      </c>
      <c r="B20" s="3" t="s">
        <v>39</v>
      </c>
      <c r="C20" s="11">
        <v>200</v>
      </c>
      <c r="D20" s="33">
        <v>0.24</v>
      </c>
      <c r="E20" s="33">
        <v>0.11</v>
      </c>
      <c r="F20" s="33">
        <v>31.37</v>
      </c>
      <c r="G20" s="34">
        <v>149.80000000000001</v>
      </c>
      <c r="H20" s="33">
        <v>0.01</v>
      </c>
      <c r="I20" s="34">
        <v>48.8</v>
      </c>
      <c r="J20" s="33">
        <v>0</v>
      </c>
      <c r="K20" s="33">
        <v>0</v>
      </c>
      <c r="L20" s="33">
        <v>15.7</v>
      </c>
      <c r="M20" s="33">
        <v>6.34</v>
      </c>
      <c r="N20" s="33">
        <v>2.3199999999999998</v>
      </c>
      <c r="O20" s="33">
        <v>0.27</v>
      </c>
    </row>
    <row r="21" spans="1:15" x14ac:dyDescent="0.25">
      <c r="A21" s="11">
        <v>338</v>
      </c>
      <c r="B21" s="4" t="s">
        <v>51</v>
      </c>
      <c r="C21" s="11">
        <v>200</v>
      </c>
      <c r="D21" s="33">
        <v>3</v>
      </c>
      <c r="E21" s="33">
        <v>1</v>
      </c>
      <c r="F21" s="33">
        <v>42</v>
      </c>
      <c r="G21" s="34">
        <v>192</v>
      </c>
      <c r="H21" s="33">
        <v>0.08</v>
      </c>
      <c r="I21" s="34">
        <v>20</v>
      </c>
      <c r="J21" s="33">
        <v>0</v>
      </c>
      <c r="K21" s="33">
        <v>0</v>
      </c>
      <c r="L21" s="33">
        <v>16</v>
      </c>
      <c r="M21" s="33">
        <v>56</v>
      </c>
      <c r="N21" s="33">
        <v>84</v>
      </c>
      <c r="O21" s="33">
        <v>1.2</v>
      </c>
    </row>
    <row r="22" spans="1:15" x14ac:dyDescent="0.25">
      <c r="A22" s="9"/>
      <c r="B22" s="20" t="s">
        <v>26</v>
      </c>
      <c r="C22" s="9">
        <v>35</v>
      </c>
      <c r="D22" s="17">
        <v>2.31</v>
      </c>
      <c r="E22" s="17">
        <v>0.39</v>
      </c>
      <c r="F22" s="17">
        <v>14.35</v>
      </c>
      <c r="G22" s="19">
        <v>72.099999999999994</v>
      </c>
      <c r="H22" s="17"/>
      <c r="I22" s="19"/>
      <c r="J22" s="17"/>
      <c r="K22" s="17"/>
      <c r="L22" s="17"/>
      <c r="M22" s="17"/>
      <c r="N22" s="17"/>
      <c r="O22" s="17"/>
    </row>
    <row r="23" spans="1:15" x14ac:dyDescent="0.25">
      <c r="A23" s="9"/>
      <c r="B23" s="20" t="s">
        <v>31</v>
      </c>
      <c r="C23" s="9">
        <v>30</v>
      </c>
      <c r="D23" s="17">
        <v>2</v>
      </c>
      <c r="E23" s="17">
        <v>0.7</v>
      </c>
      <c r="F23" s="17">
        <v>13.7</v>
      </c>
      <c r="G23" s="19">
        <v>70.5</v>
      </c>
      <c r="H23" s="17"/>
      <c r="I23" s="19"/>
      <c r="J23" s="17"/>
      <c r="K23" s="17"/>
      <c r="L23" s="17"/>
      <c r="M23" s="17"/>
      <c r="N23" s="17"/>
      <c r="O23" s="17"/>
    </row>
    <row r="24" spans="1:15" x14ac:dyDescent="0.25">
      <c r="A24" s="9"/>
      <c r="B24" s="22" t="s">
        <v>34</v>
      </c>
      <c r="C24" s="23">
        <f>SUM(C17:C23)</f>
        <v>1015</v>
      </c>
      <c r="D24" s="25">
        <f t="shared" ref="D24:O24" si="1">SUM(D17:D23)</f>
        <v>21.97045</v>
      </c>
      <c r="E24" s="25">
        <f t="shared" si="1"/>
        <v>22.0542725</v>
      </c>
      <c r="F24" s="25">
        <f t="shared" si="1"/>
        <v>174.33481749999999</v>
      </c>
      <c r="G24" s="25">
        <f t="shared" si="1"/>
        <v>1020.018175</v>
      </c>
      <c r="H24" s="46">
        <f t="shared" si="1"/>
        <v>0.32454500000000003</v>
      </c>
      <c r="I24" s="26">
        <f t="shared" si="1"/>
        <v>108.18089999999999</v>
      </c>
      <c r="J24" s="25">
        <f t="shared" si="1"/>
        <v>29.667272499999999</v>
      </c>
      <c r="K24" s="25">
        <f t="shared" si="1"/>
        <v>0.23027250000000002</v>
      </c>
      <c r="L24" s="25">
        <f t="shared" si="1"/>
        <v>134.541909</v>
      </c>
      <c r="M24" s="25">
        <f t="shared" si="1"/>
        <v>350.54381749999999</v>
      </c>
      <c r="N24" s="25">
        <f t="shared" si="1"/>
        <v>176.219363625</v>
      </c>
      <c r="O24" s="25">
        <f t="shared" si="1"/>
        <v>4.6014545</v>
      </c>
    </row>
    <row r="25" spans="1:15" x14ac:dyDescent="0.25">
      <c r="A25" s="9"/>
      <c r="B25" s="22" t="s">
        <v>33</v>
      </c>
      <c r="C25" s="9">
        <f t="shared" ref="C25:H25" si="2">C15+C24</f>
        <v>1824</v>
      </c>
      <c r="D25" s="25">
        <f t="shared" si="2"/>
        <v>54.350080399999996</v>
      </c>
      <c r="E25" s="25">
        <f t="shared" si="2"/>
        <v>58.716995299999994</v>
      </c>
      <c r="F25" s="25">
        <f t="shared" si="2"/>
        <v>268.86627129999999</v>
      </c>
      <c r="G25" s="25">
        <f t="shared" si="2"/>
        <v>1803.536327</v>
      </c>
      <c r="H25" s="46">
        <f t="shared" si="2"/>
        <v>0.55399880000000001</v>
      </c>
      <c r="I25" s="25">
        <f>-I15+I24</f>
        <v>82.474354619999986</v>
      </c>
      <c r="J25" s="25">
        <f t="shared" ref="J25:O25" si="3">J15+J24</f>
        <v>64.054908803999993</v>
      </c>
      <c r="K25" s="25">
        <f t="shared" si="3"/>
        <v>0.98663553999999998</v>
      </c>
      <c r="L25" s="25">
        <f t="shared" si="3"/>
        <v>328.93372583999997</v>
      </c>
      <c r="M25" s="25">
        <f t="shared" si="3"/>
        <v>747.07472510000002</v>
      </c>
      <c r="N25" s="25">
        <f t="shared" si="3"/>
        <v>243.03245438499999</v>
      </c>
      <c r="O25" s="25">
        <f t="shared" si="3"/>
        <v>10.302909037999999</v>
      </c>
    </row>
    <row r="26" spans="1:15" ht="14.25" customHeight="1" x14ac:dyDescent="0.25"/>
    <row r="27" spans="1:15" ht="15" hidden="1" customHeight="1" x14ac:dyDescent="0.25"/>
    <row r="28" spans="1:15" ht="15" customHeight="1" x14ac:dyDescent="0.25"/>
    <row r="29" spans="1:15" ht="1.5" customHeight="1" x14ac:dyDescent="0.25"/>
    <row r="31" spans="1:15" ht="0.75" customHeight="1" x14ac:dyDescent="0.25"/>
    <row r="32" spans="1:15" ht="0.75" customHeight="1" x14ac:dyDescent="0.25">
      <c r="A32" s="5"/>
      <c r="B32" s="43"/>
      <c r="C32" s="40"/>
      <c r="D32" s="44"/>
      <c r="E32" s="44"/>
      <c r="F32" s="44"/>
      <c r="G32" s="44"/>
      <c r="H32" s="45"/>
      <c r="I32" s="45"/>
      <c r="J32" s="45"/>
      <c r="K32" s="45"/>
      <c r="L32" s="45"/>
      <c r="M32" s="45"/>
      <c r="N32" s="45"/>
      <c r="O32" s="45"/>
    </row>
    <row r="33" spans="1: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10" zoomScaleNormal="100" workbookViewId="0">
      <selection activeCell="C25" sqref="C25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5.75" x14ac:dyDescent="0.25">
      <c r="A1" s="5"/>
      <c r="B1" s="5"/>
      <c r="C1" s="5"/>
      <c r="D1" s="5"/>
      <c r="E1" s="5"/>
      <c r="F1" s="52" t="s">
        <v>0</v>
      </c>
      <c r="G1" s="47"/>
      <c r="H1" s="8"/>
      <c r="I1" s="5"/>
      <c r="J1" s="5"/>
      <c r="K1" s="5"/>
      <c r="L1" s="5"/>
      <c r="M1" s="5"/>
      <c r="N1" s="5"/>
      <c r="O1" s="5"/>
    </row>
    <row r="2" spans="1:15" x14ac:dyDescent="0.25">
      <c r="A2" s="5" t="s">
        <v>41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75" x14ac:dyDescent="0.25">
      <c r="A4" s="5" t="s">
        <v>3</v>
      </c>
      <c r="B4" s="6" t="s">
        <v>99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45" customHeight="1" x14ac:dyDescent="0.25">
      <c r="A6" s="106" t="s">
        <v>5</v>
      </c>
      <c r="B6" s="107" t="s">
        <v>6</v>
      </c>
      <c r="C6" s="106" t="s">
        <v>7</v>
      </c>
      <c r="D6" s="103" t="s">
        <v>8</v>
      </c>
      <c r="E6" s="104"/>
      <c r="F6" s="105"/>
      <c r="G6" s="109" t="s">
        <v>12</v>
      </c>
      <c r="H6" s="103" t="s">
        <v>13</v>
      </c>
      <c r="I6" s="104"/>
      <c r="J6" s="104"/>
      <c r="K6" s="105"/>
      <c r="L6" s="103" t="s">
        <v>18</v>
      </c>
      <c r="M6" s="104"/>
      <c r="N6" s="104"/>
      <c r="O6" s="105"/>
    </row>
    <row r="7" spans="1:15" x14ac:dyDescent="0.25">
      <c r="A7" s="106"/>
      <c r="B7" s="108"/>
      <c r="C7" s="106"/>
      <c r="D7" s="9" t="s">
        <v>9</v>
      </c>
      <c r="E7" s="9" t="s">
        <v>10</v>
      </c>
      <c r="F7" s="9" t="s">
        <v>11</v>
      </c>
      <c r="G7" s="110"/>
      <c r="H7" s="9" t="s">
        <v>14</v>
      </c>
      <c r="I7" s="10" t="s">
        <v>15</v>
      </c>
      <c r="J7" s="11" t="s">
        <v>16</v>
      </c>
      <c r="K7" s="12" t="s">
        <v>17</v>
      </c>
      <c r="L7" s="9" t="s">
        <v>19</v>
      </c>
      <c r="M7" s="9" t="s">
        <v>20</v>
      </c>
      <c r="N7" s="9" t="s">
        <v>21</v>
      </c>
      <c r="O7" s="9" t="s">
        <v>22</v>
      </c>
    </row>
    <row r="8" spans="1:15" ht="15.75" x14ac:dyDescent="0.25">
      <c r="A8" s="23"/>
      <c r="B8" s="48" t="s">
        <v>28</v>
      </c>
      <c r="C8" s="9"/>
      <c r="D8" s="17"/>
      <c r="E8" s="17"/>
      <c r="F8" s="17"/>
      <c r="G8" s="18"/>
      <c r="H8" s="17"/>
      <c r="I8" s="19"/>
      <c r="J8" s="17"/>
      <c r="K8" s="17"/>
      <c r="L8" s="17"/>
      <c r="M8" s="17"/>
      <c r="N8" s="17"/>
      <c r="O8" s="17"/>
    </row>
    <row r="9" spans="1:15" ht="28.5" x14ac:dyDescent="0.25">
      <c r="A9" s="12">
        <v>2</v>
      </c>
      <c r="B9" s="21" t="s">
        <v>66</v>
      </c>
      <c r="C9" s="11">
        <v>55</v>
      </c>
      <c r="D9" s="11">
        <v>5.3</v>
      </c>
      <c r="E9" s="11">
        <v>8.26</v>
      </c>
      <c r="F9" s="11">
        <v>14.82</v>
      </c>
      <c r="G9" s="32">
        <v>155</v>
      </c>
      <c r="H9" s="33">
        <v>0.09</v>
      </c>
      <c r="I9" s="34">
        <v>0</v>
      </c>
      <c r="J9" s="33">
        <v>0</v>
      </c>
      <c r="K9" s="33">
        <v>0.12</v>
      </c>
      <c r="L9" s="33">
        <v>11.2</v>
      </c>
      <c r="M9" s="33">
        <v>59.9</v>
      </c>
      <c r="N9" s="33">
        <v>9.1999999999999993</v>
      </c>
      <c r="O9" s="33">
        <v>0.77</v>
      </c>
    </row>
    <row r="10" spans="1:15" ht="39" x14ac:dyDescent="0.25">
      <c r="A10" s="11">
        <v>173</v>
      </c>
      <c r="B10" s="3" t="s">
        <v>98</v>
      </c>
      <c r="C10" s="11">
        <v>210</v>
      </c>
      <c r="D10" s="11">
        <v>4.9800000000000004</v>
      </c>
      <c r="E10" s="11">
        <v>11.8</v>
      </c>
      <c r="F10" s="11">
        <v>32.14</v>
      </c>
      <c r="G10" s="51">
        <v>256</v>
      </c>
      <c r="H10" s="33">
        <v>0.06</v>
      </c>
      <c r="I10" s="34">
        <v>1.32</v>
      </c>
      <c r="J10" s="33">
        <v>0.06</v>
      </c>
      <c r="K10" s="33">
        <v>0.04</v>
      </c>
      <c r="L10" s="33">
        <v>129.78</v>
      </c>
      <c r="M10" s="33">
        <v>138.4</v>
      </c>
      <c r="N10" s="33">
        <v>29.44</v>
      </c>
      <c r="O10" s="33">
        <v>0.42</v>
      </c>
    </row>
    <row r="11" spans="1:15" ht="28.5" x14ac:dyDescent="0.25">
      <c r="A11" s="11">
        <v>383</v>
      </c>
      <c r="B11" s="21" t="s">
        <v>67</v>
      </c>
      <c r="C11" s="11">
        <v>200</v>
      </c>
      <c r="D11" s="11">
        <v>4.18</v>
      </c>
      <c r="E11" s="11">
        <v>3.54</v>
      </c>
      <c r="F11" s="11">
        <v>17.579999999999998</v>
      </c>
      <c r="G11" s="32">
        <v>118</v>
      </c>
      <c r="H11" s="33">
        <v>0.06</v>
      </c>
      <c r="I11" s="34">
        <v>1.95</v>
      </c>
      <c r="J11" s="33">
        <v>0.03</v>
      </c>
      <c r="K11" s="33">
        <v>0.22</v>
      </c>
      <c r="L11" s="33">
        <v>180</v>
      </c>
      <c r="M11" s="33">
        <v>135</v>
      </c>
      <c r="N11" s="33">
        <v>21</v>
      </c>
      <c r="O11" s="33">
        <v>0.09</v>
      </c>
    </row>
    <row r="12" spans="1:15" x14ac:dyDescent="0.25">
      <c r="A12" s="9"/>
      <c r="B12" s="21" t="s">
        <v>68</v>
      </c>
      <c r="C12" s="11">
        <v>30</v>
      </c>
      <c r="D12" s="11">
        <v>4.8</v>
      </c>
      <c r="E12" s="11">
        <v>5.7</v>
      </c>
      <c r="F12" s="11">
        <v>14.4</v>
      </c>
      <c r="G12" s="32">
        <v>117</v>
      </c>
      <c r="H12" s="33"/>
      <c r="I12" s="34"/>
      <c r="J12" s="33"/>
      <c r="K12" s="33"/>
      <c r="L12" s="33"/>
      <c r="M12" s="33"/>
      <c r="N12" s="33"/>
      <c r="O12" s="33"/>
    </row>
    <row r="13" spans="1:15" x14ac:dyDescent="0.25">
      <c r="A13" s="9"/>
      <c r="B13" s="20" t="s">
        <v>31</v>
      </c>
      <c r="C13" s="9">
        <v>30</v>
      </c>
      <c r="D13" s="17">
        <v>2</v>
      </c>
      <c r="E13" s="17">
        <v>0.7</v>
      </c>
      <c r="F13" s="17">
        <v>13.7</v>
      </c>
      <c r="G13" s="18">
        <v>70.5</v>
      </c>
      <c r="H13" s="17"/>
      <c r="I13" s="19"/>
      <c r="J13" s="17"/>
      <c r="K13" s="17"/>
      <c r="L13" s="17"/>
      <c r="M13" s="17"/>
      <c r="N13" s="17"/>
      <c r="O13" s="17"/>
    </row>
    <row r="14" spans="1:15" x14ac:dyDescent="0.25">
      <c r="A14" s="9"/>
      <c r="B14" s="22" t="s">
        <v>34</v>
      </c>
      <c r="C14" s="9">
        <f>SUM(C9:C13)</f>
        <v>525</v>
      </c>
      <c r="D14" s="25">
        <f t="shared" ref="D14:O14" si="0">SUM(D9:D13)</f>
        <v>21.26</v>
      </c>
      <c r="E14" s="25">
        <f t="shared" si="0"/>
        <v>30</v>
      </c>
      <c r="F14" s="25">
        <f t="shared" si="0"/>
        <v>92.64</v>
      </c>
      <c r="G14" s="24">
        <f t="shared" si="0"/>
        <v>716.5</v>
      </c>
      <c r="H14" s="25">
        <f t="shared" si="0"/>
        <v>0.21</v>
      </c>
      <c r="I14" s="26">
        <f t="shared" si="0"/>
        <v>3.27</v>
      </c>
      <c r="J14" s="25">
        <f t="shared" si="0"/>
        <v>0.09</v>
      </c>
      <c r="K14" s="25">
        <f t="shared" si="0"/>
        <v>0.38</v>
      </c>
      <c r="L14" s="25">
        <f t="shared" si="0"/>
        <v>320.98</v>
      </c>
      <c r="M14" s="25">
        <f t="shared" si="0"/>
        <v>333.3</v>
      </c>
      <c r="N14" s="25">
        <f t="shared" si="0"/>
        <v>59.64</v>
      </c>
      <c r="O14" s="25">
        <f t="shared" si="0"/>
        <v>1.28</v>
      </c>
    </row>
    <row r="15" spans="1:15" x14ac:dyDescent="0.25">
      <c r="A15" s="9"/>
      <c r="B15" s="23" t="s">
        <v>29</v>
      </c>
      <c r="C15" s="9"/>
      <c r="D15" s="9"/>
      <c r="E15" s="9"/>
      <c r="F15" s="9"/>
      <c r="G15" s="18"/>
      <c r="H15" s="17"/>
      <c r="I15" s="19"/>
      <c r="J15" s="17"/>
      <c r="K15" s="17"/>
      <c r="L15" s="17"/>
      <c r="M15" s="17"/>
      <c r="N15" s="17"/>
      <c r="O15" s="17"/>
    </row>
    <row r="16" spans="1:15" ht="60" x14ac:dyDescent="0.25">
      <c r="A16" s="11">
        <v>45</v>
      </c>
      <c r="B16" s="21" t="s">
        <v>96</v>
      </c>
      <c r="C16" s="11">
        <v>60</v>
      </c>
      <c r="D16" s="11">
        <f>C16*0.02595</f>
        <v>1.5569999999999999</v>
      </c>
      <c r="E16" s="11">
        <f>C16*0.07387</f>
        <v>4.4321999999999999</v>
      </c>
      <c r="F16" s="11">
        <f>C16*0.03233</f>
        <v>1.9398</v>
      </c>
      <c r="G16" s="32">
        <f>C16*0.898</f>
        <v>53.88</v>
      </c>
      <c r="H16" s="33">
        <f>C16*0.0004</f>
        <v>2.4E-2</v>
      </c>
      <c r="I16" s="34">
        <f>C16*0.1729</f>
        <v>10.374000000000001</v>
      </c>
      <c r="J16" s="33">
        <f>C16*0.296</f>
        <v>17.759999999999998</v>
      </c>
      <c r="K16" s="33">
        <f>C16*0.00083</f>
        <v>4.9799999999999997E-2</v>
      </c>
      <c r="L16" s="33">
        <f>C16*0.33211</f>
        <v>19.926600000000001</v>
      </c>
      <c r="M16" s="33">
        <f>C16*0.49822</f>
        <v>29.8932</v>
      </c>
      <c r="N16" s="33">
        <f>C16*0.15043</f>
        <v>9.0258000000000003</v>
      </c>
      <c r="O16" s="33">
        <f>C16*0.00866</f>
        <v>0.51959999999999995</v>
      </c>
    </row>
    <row r="17" spans="1:15" ht="42.75" customHeight="1" x14ac:dyDescent="0.25">
      <c r="A17" s="11">
        <v>96</v>
      </c>
      <c r="B17" s="54" t="s">
        <v>72</v>
      </c>
      <c r="C17" s="11">
        <v>200</v>
      </c>
      <c r="D17" s="11">
        <f>C17*0.0096</f>
        <v>1.92</v>
      </c>
      <c r="E17" s="11">
        <f>C17*0.022</f>
        <v>4.3999999999999995</v>
      </c>
      <c r="F17" s="11">
        <f>C17*0.07144</f>
        <v>14.288</v>
      </c>
      <c r="G17" s="96">
        <f>C17*0.536</f>
        <v>107.2</v>
      </c>
      <c r="H17" s="33">
        <f>C17*0.0004</f>
        <v>0.08</v>
      </c>
      <c r="I17" s="34">
        <f>C17*0.06904</f>
        <v>13.808000000000002</v>
      </c>
      <c r="J17" s="33">
        <f>C17*0.00012</f>
        <v>2.4E-2</v>
      </c>
      <c r="K17" s="33">
        <f>C17*0.00028</f>
        <v>5.5999999999999994E-2</v>
      </c>
      <c r="L17" s="33">
        <f>C17*0.0978</f>
        <v>19.559999999999999</v>
      </c>
      <c r="M17" s="33">
        <f>C17*0.2794</f>
        <v>55.879999999999995</v>
      </c>
      <c r="N17" s="33">
        <f>C17*0.10988</f>
        <v>21.976000000000003</v>
      </c>
      <c r="O17" s="33">
        <f>C17*0.00392</f>
        <v>0.78400000000000003</v>
      </c>
    </row>
    <row r="18" spans="1:15" ht="51.75" x14ac:dyDescent="0.25">
      <c r="A18" s="11">
        <v>289</v>
      </c>
      <c r="B18" s="3" t="s">
        <v>42</v>
      </c>
      <c r="C18" s="11">
        <v>175</v>
      </c>
      <c r="D18" s="11">
        <v>12.81</v>
      </c>
      <c r="E18" s="11">
        <v>10.64</v>
      </c>
      <c r="F18" s="11">
        <v>15.2</v>
      </c>
      <c r="G18" s="32">
        <v>208</v>
      </c>
      <c r="H18" s="11">
        <v>0.09</v>
      </c>
      <c r="I18" s="32">
        <v>11.7</v>
      </c>
      <c r="J18" s="11">
        <v>21</v>
      </c>
      <c r="K18" s="11">
        <v>0.14000000000000001</v>
      </c>
      <c r="L18" s="11">
        <v>28.59</v>
      </c>
      <c r="M18" s="11">
        <v>138.1</v>
      </c>
      <c r="N18" s="11">
        <v>36</v>
      </c>
      <c r="O18" s="11">
        <v>1.83</v>
      </c>
    </row>
    <row r="19" spans="1:15" ht="28.5" x14ac:dyDescent="0.25">
      <c r="A19" s="11">
        <v>342</v>
      </c>
      <c r="B19" s="21" t="s">
        <v>43</v>
      </c>
      <c r="C19" s="11">
        <v>200</v>
      </c>
      <c r="D19" s="11">
        <v>0.21</v>
      </c>
      <c r="E19" s="11">
        <v>0.21</v>
      </c>
      <c r="F19" s="11">
        <v>15.27</v>
      </c>
      <c r="G19" s="32">
        <v>62</v>
      </c>
      <c r="H19" s="33">
        <v>0.01</v>
      </c>
      <c r="I19" s="34">
        <v>8.91</v>
      </c>
      <c r="J19" s="33">
        <v>0</v>
      </c>
      <c r="K19" s="33">
        <v>0.01</v>
      </c>
      <c r="L19" s="33">
        <v>8.84</v>
      </c>
      <c r="M19" s="33">
        <v>5.94</v>
      </c>
      <c r="N19" s="33">
        <v>4.8600000000000003</v>
      </c>
      <c r="O19" s="33">
        <v>1.21</v>
      </c>
    </row>
    <row r="20" spans="1:15" x14ac:dyDescent="0.25">
      <c r="A20" s="9">
        <v>338</v>
      </c>
      <c r="B20" s="20" t="s">
        <v>44</v>
      </c>
      <c r="C20" s="9">
        <v>150</v>
      </c>
      <c r="D20" s="9">
        <v>0.6</v>
      </c>
      <c r="E20" s="9">
        <v>0.6</v>
      </c>
      <c r="F20" s="9">
        <v>14.7</v>
      </c>
      <c r="G20" s="18">
        <v>48</v>
      </c>
      <c r="H20" s="17">
        <v>0.05</v>
      </c>
      <c r="I20" s="19">
        <v>15</v>
      </c>
      <c r="J20" s="17">
        <v>0</v>
      </c>
      <c r="K20" s="17">
        <v>0</v>
      </c>
      <c r="L20" s="17">
        <v>24</v>
      </c>
      <c r="M20" s="17">
        <v>16.5</v>
      </c>
      <c r="N20" s="17">
        <v>13.5</v>
      </c>
      <c r="O20" s="17">
        <v>3.3</v>
      </c>
    </row>
    <row r="21" spans="1:15" x14ac:dyDescent="0.25">
      <c r="A21" s="9"/>
      <c r="B21" s="20" t="s">
        <v>26</v>
      </c>
      <c r="C21" s="9">
        <v>35</v>
      </c>
      <c r="D21" s="17">
        <v>2.31</v>
      </c>
      <c r="E21" s="17">
        <v>0.39</v>
      </c>
      <c r="F21" s="17">
        <v>14.35</v>
      </c>
      <c r="G21" s="19">
        <v>72.099999999999994</v>
      </c>
      <c r="H21" s="17"/>
      <c r="I21" s="19"/>
      <c r="J21" s="17"/>
      <c r="K21" s="17"/>
      <c r="L21" s="17"/>
      <c r="M21" s="17"/>
      <c r="N21" s="17"/>
      <c r="O21" s="17"/>
    </row>
    <row r="22" spans="1:15" x14ac:dyDescent="0.25">
      <c r="A22" s="9"/>
      <c r="B22" s="20" t="s">
        <v>31</v>
      </c>
      <c r="C22" s="9">
        <v>30</v>
      </c>
      <c r="D22" s="17">
        <v>2</v>
      </c>
      <c r="E22" s="17">
        <v>0.7</v>
      </c>
      <c r="F22" s="17">
        <v>13.7</v>
      </c>
      <c r="G22" s="19">
        <v>70.5</v>
      </c>
      <c r="H22" s="17"/>
      <c r="I22" s="19"/>
      <c r="J22" s="17"/>
      <c r="K22" s="17"/>
      <c r="L22" s="17"/>
      <c r="M22" s="17"/>
      <c r="N22" s="17"/>
      <c r="O22" s="17"/>
    </row>
    <row r="23" spans="1:15" x14ac:dyDescent="0.25">
      <c r="A23" s="9"/>
      <c r="B23" s="22" t="s">
        <v>34</v>
      </c>
      <c r="C23" s="9">
        <f>SUM(C16:C22)</f>
        <v>850</v>
      </c>
      <c r="D23" s="31">
        <f t="shared" ref="D23:O23" si="1">SUM(D16:D22)</f>
        <v>21.407</v>
      </c>
      <c r="E23" s="31">
        <f t="shared" si="1"/>
        <v>21.372200000000003</v>
      </c>
      <c r="F23" s="31">
        <f t="shared" si="1"/>
        <v>89.447800000000001</v>
      </c>
      <c r="G23" s="55">
        <f t="shared" si="1"/>
        <v>621.68000000000006</v>
      </c>
      <c r="H23" s="42">
        <f t="shared" si="1"/>
        <v>0.254</v>
      </c>
      <c r="I23" s="56">
        <f t="shared" si="1"/>
        <v>59.792000000000002</v>
      </c>
      <c r="J23" s="42">
        <f t="shared" si="1"/>
        <v>38.783999999999999</v>
      </c>
      <c r="K23" s="42">
        <f t="shared" si="1"/>
        <v>0.25580000000000003</v>
      </c>
      <c r="L23" s="42">
        <f t="shared" si="1"/>
        <v>100.9166</v>
      </c>
      <c r="M23" s="42">
        <f t="shared" si="1"/>
        <v>246.31319999999999</v>
      </c>
      <c r="N23" s="42">
        <f t="shared" si="1"/>
        <v>85.361800000000002</v>
      </c>
      <c r="O23" s="42">
        <f t="shared" si="1"/>
        <v>7.6436000000000002</v>
      </c>
    </row>
    <row r="24" spans="1:15" x14ac:dyDescent="0.25">
      <c r="A24" s="9"/>
      <c r="B24" s="22" t="s">
        <v>33</v>
      </c>
      <c r="C24" s="9">
        <f>C14+C23</f>
        <v>1375</v>
      </c>
      <c r="D24" s="31">
        <f t="shared" ref="D24:O24" si="2">D14+D23</f>
        <v>42.667000000000002</v>
      </c>
      <c r="E24" s="31">
        <f t="shared" si="2"/>
        <v>51.372200000000007</v>
      </c>
      <c r="F24" s="31">
        <f t="shared" si="2"/>
        <v>182.08780000000002</v>
      </c>
      <c r="G24" s="55">
        <f t="shared" si="2"/>
        <v>1338.18</v>
      </c>
      <c r="H24" s="42">
        <f t="shared" si="2"/>
        <v>0.46399999999999997</v>
      </c>
      <c r="I24" s="56">
        <f t="shared" si="2"/>
        <v>63.062000000000005</v>
      </c>
      <c r="J24" s="42">
        <f t="shared" si="2"/>
        <v>38.874000000000002</v>
      </c>
      <c r="K24" s="42">
        <f t="shared" si="2"/>
        <v>0.63580000000000003</v>
      </c>
      <c r="L24" s="42">
        <f t="shared" si="2"/>
        <v>421.89660000000003</v>
      </c>
      <c r="M24" s="42">
        <f t="shared" si="2"/>
        <v>579.61320000000001</v>
      </c>
      <c r="N24" s="42">
        <f t="shared" si="2"/>
        <v>145.0018</v>
      </c>
      <c r="O24" s="42">
        <f t="shared" si="2"/>
        <v>8.9236000000000004</v>
      </c>
    </row>
    <row r="25" spans="1: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13" zoomScaleNormal="100" workbookViewId="0">
      <selection activeCell="C25" sqref="C25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5.75" x14ac:dyDescent="0.25">
      <c r="A1" s="5"/>
      <c r="B1" s="5"/>
      <c r="C1" s="5"/>
      <c r="D1" s="5"/>
      <c r="E1" s="5"/>
      <c r="F1" s="52" t="s">
        <v>0</v>
      </c>
      <c r="G1" s="47"/>
      <c r="H1" s="8"/>
      <c r="I1" s="5"/>
      <c r="J1" s="5"/>
      <c r="K1" s="5"/>
      <c r="L1" s="5"/>
      <c r="M1" s="5"/>
      <c r="N1" s="5"/>
      <c r="O1" s="5"/>
    </row>
    <row r="2" spans="1:15" x14ac:dyDescent="0.25">
      <c r="A2" s="5" t="s">
        <v>41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75" x14ac:dyDescent="0.25">
      <c r="A4" s="5" t="s">
        <v>3</v>
      </c>
      <c r="B4" s="6" t="s">
        <v>99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58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45" customHeight="1" x14ac:dyDescent="0.25">
      <c r="A6" s="106" t="s">
        <v>5</v>
      </c>
      <c r="B6" s="107" t="s">
        <v>6</v>
      </c>
      <c r="C6" s="106" t="s">
        <v>7</v>
      </c>
      <c r="D6" s="103" t="s">
        <v>8</v>
      </c>
      <c r="E6" s="104"/>
      <c r="F6" s="105"/>
      <c r="G6" s="109" t="s">
        <v>12</v>
      </c>
      <c r="H6" s="103" t="s">
        <v>13</v>
      </c>
      <c r="I6" s="104"/>
      <c r="J6" s="104"/>
      <c r="K6" s="105"/>
      <c r="L6" s="103" t="s">
        <v>18</v>
      </c>
      <c r="M6" s="104"/>
      <c r="N6" s="104"/>
      <c r="O6" s="105"/>
    </row>
    <row r="7" spans="1:15" x14ac:dyDescent="0.25">
      <c r="A7" s="106"/>
      <c r="B7" s="108"/>
      <c r="C7" s="106"/>
      <c r="D7" s="9" t="s">
        <v>9</v>
      </c>
      <c r="E7" s="9" t="s">
        <v>10</v>
      </c>
      <c r="F7" s="9" t="s">
        <v>11</v>
      </c>
      <c r="G7" s="110"/>
      <c r="H7" s="9" t="s">
        <v>14</v>
      </c>
      <c r="I7" s="72" t="s">
        <v>15</v>
      </c>
      <c r="J7" s="11" t="s">
        <v>16</v>
      </c>
      <c r="K7" s="12" t="s">
        <v>17</v>
      </c>
      <c r="L7" s="9" t="s">
        <v>19</v>
      </c>
      <c r="M7" s="9" t="s">
        <v>20</v>
      </c>
      <c r="N7" s="9" t="s">
        <v>21</v>
      </c>
      <c r="O7" s="9" t="s">
        <v>22</v>
      </c>
    </row>
    <row r="8" spans="1:15" ht="15.75" x14ac:dyDescent="0.25">
      <c r="A8" s="23"/>
      <c r="B8" s="48" t="s">
        <v>28</v>
      </c>
      <c r="C8" s="9"/>
      <c r="D8" s="17"/>
      <c r="E8" s="17"/>
      <c r="F8" s="17"/>
      <c r="G8" s="18"/>
      <c r="H8" s="17"/>
      <c r="I8" s="19"/>
      <c r="J8" s="17"/>
      <c r="K8" s="17"/>
      <c r="L8" s="17"/>
      <c r="M8" s="17"/>
      <c r="N8" s="17"/>
      <c r="O8" s="17"/>
    </row>
    <row r="9" spans="1:15" ht="28.5" x14ac:dyDescent="0.25">
      <c r="A9" s="12">
        <v>2</v>
      </c>
      <c r="B9" s="21" t="s">
        <v>66</v>
      </c>
      <c r="C9" s="11">
        <v>55</v>
      </c>
      <c r="D9" s="11">
        <v>5.3</v>
      </c>
      <c r="E9" s="11">
        <v>8.26</v>
      </c>
      <c r="F9" s="11">
        <v>14.82</v>
      </c>
      <c r="G9" s="74">
        <v>155</v>
      </c>
      <c r="H9" s="33">
        <v>0.09</v>
      </c>
      <c r="I9" s="34">
        <v>0</v>
      </c>
      <c r="J9" s="33">
        <v>0</v>
      </c>
      <c r="K9" s="33">
        <v>0.12</v>
      </c>
      <c r="L9" s="33">
        <v>11.2</v>
      </c>
      <c r="M9" s="33">
        <v>59.9</v>
      </c>
      <c r="N9" s="33">
        <v>9.1999999999999993</v>
      </c>
      <c r="O9" s="33">
        <v>0.77</v>
      </c>
    </row>
    <row r="10" spans="1:15" ht="39" x14ac:dyDescent="0.25">
      <c r="A10" s="11">
        <v>173</v>
      </c>
      <c r="B10" s="3" t="s">
        <v>98</v>
      </c>
      <c r="C10" s="11">
        <v>210</v>
      </c>
      <c r="D10" s="11">
        <v>4.9800000000000004</v>
      </c>
      <c r="E10" s="11">
        <v>11.8</v>
      </c>
      <c r="F10" s="11">
        <v>32.14</v>
      </c>
      <c r="G10" s="51">
        <v>256</v>
      </c>
      <c r="H10" s="33">
        <v>0.06</v>
      </c>
      <c r="I10" s="34">
        <v>1.32</v>
      </c>
      <c r="J10" s="33">
        <v>0.06</v>
      </c>
      <c r="K10" s="33">
        <v>0.04</v>
      </c>
      <c r="L10" s="33">
        <v>129.78</v>
      </c>
      <c r="M10" s="33">
        <v>138.4</v>
      </c>
      <c r="N10" s="33">
        <v>29.44</v>
      </c>
      <c r="O10" s="33">
        <v>0.42</v>
      </c>
    </row>
    <row r="11" spans="1:15" ht="28.5" x14ac:dyDescent="0.25">
      <c r="A11" s="11">
        <v>383</v>
      </c>
      <c r="B11" s="21" t="s">
        <v>67</v>
      </c>
      <c r="C11" s="11">
        <v>200</v>
      </c>
      <c r="D11" s="11">
        <v>4.18</v>
      </c>
      <c r="E11" s="11">
        <v>3.54</v>
      </c>
      <c r="F11" s="11">
        <v>17.579999999999998</v>
      </c>
      <c r="G11" s="74">
        <v>118</v>
      </c>
      <c r="H11" s="33">
        <v>0.06</v>
      </c>
      <c r="I11" s="34">
        <v>1.95</v>
      </c>
      <c r="J11" s="33">
        <v>0.03</v>
      </c>
      <c r="K11" s="33">
        <v>0.22</v>
      </c>
      <c r="L11" s="33">
        <v>180</v>
      </c>
      <c r="M11" s="33">
        <v>135</v>
      </c>
      <c r="N11" s="33">
        <v>21</v>
      </c>
      <c r="O11" s="33">
        <v>0.09</v>
      </c>
    </row>
    <row r="12" spans="1:15" x14ac:dyDescent="0.25">
      <c r="A12" s="9"/>
      <c r="B12" s="21" t="s">
        <v>68</v>
      </c>
      <c r="C12" s="11">
        <v>55</v>
      </c>
      <c r="D12" s="11">
        <v>4.8</v>
      </c>
      <c r="E12" s="11">
        <v>5.7</v>
      </c>
      <c r="F12" s="11">
        <v>14.4</v>
      </c>
      <c r="G12" s="74">
        <v>117</v>
      </c>
      <c r="H12" s="33"/>
      <c r="I12" s="34"/>
      <c r="J12" s="33"/>
      <c r="K12" s="33"/>
      <c r="L12" s="33"/>
      <c r="M12" s="33"/>
      <c r="N12" s="33"/>
      <c r="O12" s="33"/>
    </row>
    <row r="13" spans="1:15" x14ac:dyDescent="0.25">
      <c r="A13" s="9"/>
      <c r="B13" s="20" t="s">
        <v>31</v>
      </c>
      <c r="C13" s="9">
        <v>30</v>
      </c>
      <c r="D13" s="17">
        <v>2</v>
      </c>
      <c r="E13" s="17">
        <v>0.7</v>
      </c>
      <c r="F13" s="17">
        <v>13.7</v>
      </c>
      <c r="G13" s="18">
        <v>70.5</v>
      </c>
      <c r="H13" s="17"/>
      <c r="I13" s="19"/>
      <c r="J13" s="17"/>
      <c r="K13" s="17"/>
      <c r="L13" s="17"/>
      <c r="M13" s="17"/>
      <c r="N13" s="17"/>
      <c r="O13" s="17"/>
    </row>
    <row r="14" spans="1:15" x14ac:dyDescent="0.25">
      <c r="A14" s="9"/>
      <c r="B14" s="22" t="s">
        <v>34</v>
      </c>
      <c r="C14" s="9">
        <f>SUM(C9:C13)</f>
        <v>550</v>
      </c>
      <c r="D14" s="25">
        <f t="shared" ref="D14:O14" si="0">SUM(D9:D13)</f>
        <v>21.26</v>
      </c>
      <c r="E14" s="25">
        <f t="shared" si="0"/>
        <v>30</v>
      </c>
      <c r="F14" s="25">
        <f t="shared" si="0"/>
        <v>92.64</v>
      </c>
      <c r="G14" s="24">
        <f t="shared" si="0"/>
        <v>716.5</v>
      </c>
      <c r="H14" s="25">
        <f t="shared" si="0"/>
        <v>0.21</v>
      </c>
      <c r="I14" s="26">
        <f t="shared" si="0"/>
        <v>3.27</v>
      </c>
      <c r="J14" s="25">
        <f t="shared" si="0"/>
        <v>0.09</v>
      </c>
      <c r="K14" s="25">
        <f t="shared" si="0"/>
        <v>0.38</v>
      </c>
      <c r="L14" s="25">
        <f t="shared" si="0"/>
        <v>320.98</v>
      </c>
      <c r="M14" s="25">
        <f t="shared" si="0"/>
        <v>333.3</v>
      </c>
      <c r="N14" s="25">
        <f t="shared" si="0"/>
        <v>59.64</v>
      </c>
      <c r="O14" s="25">
        <f t="shared" si="0"/>
        <v>1.28</v>
      </c>
    </row>
    <row r="15" spans="1:15" x14ac:dyDescent="0.25">
      <c r="A15" s="9"/>
      <c r="B15" s="23" t="s">
        <v>29</v>
      </c>
      <c r="C15" s="9"/>
      <c r="D15" s="9"/>
      <c r="E15" s="9"/>
      <c r="F15" s="9"/>
      <c r="G15" s="18"/>
      <c r="H15" s="17"/>
      <c r="I15" s="19"/>
      <c r="J15" s="17"/>
      <c r="K15" s="17"/>
      <c r="L15" s="17"/>
      <c r="M15" s="17"/>
      <c r="N15" s="17"/>
      <c r="O15" s="17"/>
    </row>
    <row r="16" spans="1:15" ht="60" x14ac:dyDescent="0.25">
      <c r="A16" s="11">
        <v>45</v>
      </c>
      <c r="B16" s="21" t="s">
        <v>96</v>
      </c>
      <c r="C16" s="11">
        <v>100</v>
      </c>
      <c r="D16" s="11">
        <f>C16*0.02595</f>
        <v>2.5950000000000002</v>
      </c>
      <c r="E16" s="11">
        <f>C16*0.07387</f>
        <v>7.3870000000000005</v>
      </c>
      <c r="F16" s="11">
        <f>C16*0.03233</f>
        <v>3.2329999999999997</v>
      </c>
      <c r="G16" s="74">
        <f>C16*0.898</f>
        <v>89.8</v>
      </c>
      <c r="H16" s="33">
        <f>C16*0.0004</f>
        <v>0.04</v>
      </c>
      <c r="I16" s="34">
        <f>C16*0.1729</f>
        <v>17.29</v>
      </c>
      <c r="J16" s="33">
        <f>C16*0.296</f>
        <v>29.599999999999998</v>
      </c>
      <c r="K16" s="33">
        <f>C16*0.00083</f>
        <v>8.3000000000000004E-2</v>
      </c>
      <c r="L16" s="33">
        <f>C16*0.33211</f>
        <v>33.210999999999999</v>
      </c>
      <c r="M16" s="33">
        <f>C16*0.49822</f>
        <v>49.822000000000003</v>
      </c>
      <c r="N16" s="33">
        <f>C16*0.15043</f>
        <v>15.043000000000001</v>
      </c>
      <c r="O16" s="33">
        <f>C16*0.00866</f>
        <v>0.86599999999999988</v>
      </c>
    </row>
    <row r="17" spans="1:15" ht="42.75" customHeight="1" x14ac:dyDescent="0.25">
      <c r="A17" s="11">
        <v>96</v>
      </c>
      <c r="B17" s="54" t="s">
        <v>72</v>
      </c>
      <c r="C17" s="11">
        <v>250</v>
      </c>
      <c r="D17" s="11">
        <f>C17*0.0096</f>
        <v>2.4</v>
      </c>
      <c r="E17" s="11">
        <f>C17*0.022</f>
        <v>5.5</v>
      </c>
      <c r="F17" s="11">
        <f>C17*0.07144</f>
        <v>17.86</v>
      </c>
      <c r="G17" s="96">
        <f>C17*0.536</f>
        <v>134</v>
      </c>
      <c r="H17" s="33">
        <f>C17*0.0004</f>
        <v>0.1</v>
      </c>
      <c r="I17" s="34">
        <f>C17*0.06904</f>
        <v>17.260000000000002</v>
      </c>
      <c r="J17" s="33">
        <f>C17*0.00012</f>
        <v>3.0000000000000002E-2</v>
      </c>
      <c r="K17" s="33">
        <f>C17*0.00028</f>
        <v>6.9999999999999993E-2</v>
      </c>
      <c r="L17" s="33">
        <f>C17*0.0978</f>
        <v>24.45</v>
      </c>
      <c r="M17" s="33">
        <f>C17*0.2794</f>
        <v>69.849999999999994</v>
      </c>
      <c r="N17" s="33">
        <f>C17*0.10988</f>
        <v>27.470000000000002</v>
      </c>
      <c r="O17" s="33">
        <f>C17*0.00392</f>
        <v>0.98</v>
      </c>
    </row>
    <row r="18" spans="1:15" ht="51.75" x14ac:dyDescent="0.25">
      <c r="A18" s="11">
        <v>289</v>
      </c>
      <c r="B18" s="3" t="s">
        <v>42</v>
      </c>
      <c r="C18" s="11">
        <v>175</v>
      </c>
      <c r="D18" s="11">
        <v>12.81</v>
      </c>
      <c r="E18" s="11">
        <v>10.64</v>
      </c>
      <c r="F18" s="11">
        <v>15.2</v>
      </c>
      <c r="G18" s="74">
        <v>208</v>
      </c>
      <c r="H18" s="11">
        <v>0.09</v>
      </c>
      <c r="I18" s="74">
        <v>11.7</v>
      </c>
      <c r="J18" s="11">
        <v>21</v>
      </c>
      <c r="K18" s="11">
        <v>0.14000000000000001</v>
      </c>
      <c r="L18" s="11">
        <v>28.59</v>
      </c>
      <c r="M18" s="11">
        <v>138.1</v>
      </c>
      <c r="N18" s="11">
        <v>36</v>
      </c>
      <c r="O18" s="11">
        <v>1.83</v>
      </c>
    </row>
    <row r="19" spans="1:15" ht="28.5" x14ac:dyDescent="0.25">
      <c r="A19" s="11">
        <v>394</v>
      </c>
      <c r="B19" s="21" t="s">
        <v>43</v>
      </c>
      <c r="C19" s="11">
        <v>200</v>
      </c>
      <c r="D19" s="11">
        <v>0.21</v>
      </c>
      <c r="E19" s="11">
        <v>0.21</v>
      </c>
      <c r="F19" s="11">
        <v>15.27</v>
      </c>
      <c r="G19" s="74">
        <v>62</v>
      </c>
      <c r="H19" s="33">
        <v>0.01</v>
      </c>
      <c r="I19" s="34">
        <v>8.91</v>
      </c>
      <c r="J19" s="33">
        <v>0</v>
      </c>
      <c r="K19" s="33">
        <v>0.01</v>
      </c>
      <c r="L19" s="33">
        <v>8.84</v>
      </c>
      <c r="M19" s="33">
        <v>5.94</v>
      </c>
      <c r="N19" s="33">
        <v>4.8600000000000003</v>
      </c>
      <c r="O19" s="33">
        <v>1.21</v>
      </c>
    </row>
    <row r="20" spans="1:15" x14ac:dyDescent="0.25">
      <c r="A20" s="9">
        <v>338</v>
      </c>
      <c r="B20" s="20" t="s">
        <v>44</v>
      </c>
      <c r="C20" s="9">
        <v>150</v>
      </c>
      <c r="D20" s="9">
        <v>0.6</v>
      </c>
      <c r="E20" s="9">
        <v>0.6</v>
      </c>
      <c r="F20" s="9">
        <v>14.7</v>
      </c>
      <c r="G20" s="18">
        <v>48</v>
      </c>
      <c r="H20" s="17">
        <v>0.05</v>
      </c>
      <c r="I20" s="19">
        <v>15</v>
      </c>
      <c r="J20" s="17">
        <v>0</v>
      </c>
      <c r="K20" s="17">
        <v>0</v>
      </c>
      <c r="L20" s="17">
        <v>24</v>
      </c>
      <c r="M20" s="17">
        <v>16.5</v>
      </c>
      <c r="N20" s="17">
        <v>13.5</v>
      </c>
      <c r="O20" s="17">
        <v>3.3</v>
      </c>
    </row>
    <row r="21" spans="1:15" x14ac:dyDescent="0.25">
      <c r="A21" s="9"/>
      <c r="B21" s="20" t="s">
        <v>26</v>
      </c>
      <c r="C21" s="9">
        <v>35</v>
      </c>
      <c r="D21" s="17">
        <v>2.31</v>
      </c>
      <c r="E21" s="17">
        <v>0.39</v>
      </c>
      <c r="F21" s="17">
        <v>14.35</v>
      </c>
      <c r="G21" s="19">
        <v>72.099999999999994</v>
      </c>
      <c r="H21" s="17"/>
      <c r="I21" s="19"/>
      <c r="J21" s="17"/>
      <c r="K21" s="17"/>
      <c r="L21" s="17"/>
      <c r="M21" s="17"/>
      <c r="N21" s="17"/>
      <c r="O21" s="17"/>
    </row>
    <row r="22" spans="1:15" x14ac:dyDescent="0.25">
      <c r="A22" s="9"/>
      <c r="B22" s="20" t="s">
        <v>31</v>
      </c>
      <c r="C22" s="9">
        <v>30</v>
      </c>
      <c r="D22" s="17">
        <v>2</v>
      </c>
      <c r="E22" s="17">
        <v>0.7</v>
      </c>
      <c r="F22" s="17">
        <v>13.7</v>
      </c>
      <c r="G22" s="19">
        <v>70.5</v>
      </c>
      <c r="H22" s="17"/>
      <c r="I22" s="19"/>
      <c r="J22" s="17"/>
      <c r="K22" s="17"/>
      <c r="L22" s="17"/>
      <c r="M22" s="17"/>
      <c r="N22" s="17"/>
      <c r="O22" s="17"/>
    </row>
    <row r="23" spans="1:15" x14ac:dyDescent="0.25">
      <c r="A23" s="9"/>
      <c r="B23" s="22" t="s">
        <v>34</v>
      </c>
      <c r="C23" s="9">
        <f>SUM(C16:C22)</f>
        <v>940</v>
      </c>
      <c r="D23" s="31">
        <f t="shared" ref="D23:O23" si="1">SUM(D16:D22)</f>
        <v>22.925000000000001</v>
      </c>
      <c r="E23" s="31">
        <f t="shared" si="1"/>
        <v>25.427000000000003</v>
      </c>
      <c r="F23" s="31">
        <f t="shared" si="1"/>
        <v>94.313000000000002</v>
      </c>
      <c r="G23" s="55">
        <f t="shared" si="1"/>
        <v>684.4</v>
      </c>
      <c r="H23" s="42">
        <f t="shared" si="1"/>
        <v>0.29000000000000004</v>
      </c>
      <c r="I23" s="56">
        <f t="shared" si="1"/>
        <v>70.16</v>
      </c>
      <c r="J23" s="42">
        <f t="shared" si="1"/>
        <v>50.629999999999995</v>
      </c>
      <c r="K23" s="42">
        <f t="shared" si="1"/>
        <v>0.30300000000000005</v>
      </c>
      <c r="L23" s="42">
        <f t="shared" si="1"/>
        <v>119.09100000000001</v>
      </c>
      <c r="M23" s="42">
        <f t="shared" si="1"/>
        <v>280.21199999999999</v>
      </c>
      <c r="N23" s="42">
        <f t="shared" si="1"/>
        <v>96.873000000000005</v>
      </c>
      <c r="O23" s="42">
        <f t="shared" si="1"/>
        <v>8.1859999999999999</v>
      </c>
    </row>
    <row r="24" spans="1:15" x14ac:dyDescent="0.25">
      <c r="A24" s="9"/>
      <c r="B24" s="22" t="s">
        <v>33</v>
      </c>
      <c r="C24" s="9">
        <f>C14+C23</f>
        <v>1490</v>
      </c>
      <c r="D24" s="31">
        <f t="shared" ref="D24:O24" si="2">D14+D23</f>
        <v>44.185000000000002</v>
      </c>
      <c r="E24" s="31">
        <f t="shared" si="2"/>
        <v>55.427000000000007</v>
      </c>
      <c r="F24" s="31">
        <f t="shared" si="2"/>
        <v>186.953</v>
      </c>
      <c r="G24" s="55">
        <f t="shared" si="2"/>
        <v>1400.9</v>
      </c>
      <c r="H24" s="42">
        <f t="shared" si="2"/>
        <v>0.5</v>
      </c>
      <c r="I24" s="56">
        <f t="shared" si="2"/>
        <v>73.429999999999993</v>
      </c>
      <c r="J24" s="42">
        <f t="shared" si="2"/>
        <v>50.72</v>
      </c>
      <c r="K24" s="42">
        <f t="shared" si="2"/>
        <v>0.68300000000000005</v>
      </c>
      <c r="L24" s="42">
        <f t="shared" si="2"/>
        <v>440.07100000000003</v>
      </c>
      <c r="M24" s="42">
        <f t="shared" si="2"/>
        <v>613.51199999999994</v>
      </c>
      <c r="N24" s="42">
        <f t="shared" si="2"/>
        <v>156.51300000000001</v>
      </c>
      <c r="O24" s="42">
        <f t="shared" si="2"/>
        <v>9.4659999999999993</v>
      </c>
    </row>
    <row r="25" spans="1: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7" zoomScaleNormal="100" workbookViewId="0">
      <selection activeCell="A20" sqref="A20:B20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5.75" x14ac:dyDescent="0.25">
      <c r="F1" s="52" t="s">
        <v>0</v>
      </c>
      <c r="G1" s="1"/>
      <c r="H1" s="2"/>
    </row>
    <row r="2" spans="1:15" ht="15.75" x14ac:dyDescent="0.25">
      <c r="A2" s="6" t="s">
        <v>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75" x14ac:dyDescent="0.25">
      <c r="A4" s="5" t="s">
        <v>3</v>
      </c>
      <c r="B4" s="6" t="s">
        <v>99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45" customHeight="1" x14ac:dyDescent="0.25">
      <c r="A6" s="106" t="s">
        <v>5</v>
      </c>
      <c r="B6" s="107" t="s">
        <v>6</v>
      </c>
      <c r="C6" s="106" t="s">
        <v>7</v>
      </c>
      <c r="D6" s="103" t="s">
        <v>8</v>
      </c>
      <c r="E6" s="104"/>
      <c r="F6" s="105"/>
      <c r="G6" s="109" t="s">
        <v>12</v>
      </c>
      <c r="H6" s="103" t="s">
        <v>13</v>
      </c>
      <c r="I6" s="104"/>
      <c r="J6" s="104"/>
      <c r="K6" s="105"/>
      <c r="L6" s="103" t="s">
        <v>18</v>
      </c>
      <c r="M6" s="104"/>
      <c r="N6" s="104"/>
      <c r="O6" s="105"/>
    </row>
    <row r="7" spans="1:15" x14ac:dyDescent="0.25">
      <c r="A7" s="106"/>
      <c r="B7" s="108"/>
      <c r="C7" s="106"/>
      <c r="D7" s="9" t="s">
        <v>9</v>
      </c>
      <c r="E7" s="9" t="s">
        <v>10</v>
      </c>
      <c r="F7" s="9" t="s">
        <v>11</v>
      </c>
      <c r="G7" s="110"/>
      <c r="H7" s="9" t="s">
        <v>14</v>
      </c>
      <c r="I7" s="10" t="s">
        <v>15</v>
      </c>
      <c r="J7" s="11" t="s">
        <v>16</v>
      </c>
      <c r="K7" s="12" t="s">
        <v>17</v>
      </c>
      <c r="L7" s="9" t="s">
        <v>19</v>
      </c>
      <c r="M7" s="9" t="s">
        <v>20</v>
      </c>
      <c r="N7" s="9" t="s">
        <v>21</v>
      </c>
      <c r="O7" s="9" t="s">
        <v>22</v>
      </c>
    </row>
    <row r="8" spans="1:15" ht="15.75" x14ac:dyDescent="0.25">
      <c r="A8" s="13"/>
      <c r="B8" s="57" t="s">
        <v>28</v>
      </c>
      <c r="C8" s="13"/>
      <c r="D8" s="9"/>
      <c r="E8" s="9"/>
      <c r="F8" s="9"/>
      <c r="G8" s="15"/>
      <c r="H8" s="9"/>
      <c r="I8" s="10"/>
      <c r="J8" s="11"/>
      <c r="K8" s="12"/>
      <c r="L8" s="9"/>
      <c r="M8" s="9"/>
      <c r="N8" s="9"/>
      <c r="O8" s="9"/>
    </row>
    <row r="9" spans="1:15" x14ac:dyDescent="0.25">
      <c r="A9" s="9" t="s">
        <v>60</v>
      </c>
      <c r="B9" s="16" t="s">
        <v>23</v>
      </c>
      <c r="C9" s="9">
        <v>50</v>
      </c>
      <c r="D9" s="17">
        <v>5.76</v>
      </c>
      <c r="E9" s="17">
        <v>5.25</v>
      </c>
      <c r="F9" s="17">
        <v>14.94</v>
      </c>
      <c r="G9" s="18">
        <v>133</v>
      </c>
      <c r="H9" s="17">
        <v>0.05</v>
      </c>
      <c r="I9" s="19">
        <v>0.24</v>
      </c>
      <c r="J9" s="17">
        <v>0.03</v>
      </c>
      <c r="K9" s="17">
        <v>0.02</v>
      </c>
      <c r="L9" s="17">
        <v>156.6</v>
      </c>
      <c r="M9" s="17">
        <v>106.5</v>
      </c>
      <c r="N9" s="17">
        <v>17.399999999999999</v>
      </c>
      <c r="O9" s="17">
        <v>0.76</v>
      </c>
    </row>
    <row r="10" spans="1:15" ht="51.75" x14ac:dyDescent="0.25">
      <c r="A10" s="12">
        <v>223</v>
      </c>
      <c r="B10" s="3" t="s">
        <v>46</v>
      </c>
      <c r="C10" s="11">
        <v>195</v>
      </c>
      <c r="D10" s="11">
        <v>21.56</v>
      </c>
      <c r="E10" s="11">
        <v>20.399999999999999</v>
      </c>
      <c r="F10" s="11">
        <v>45.6</v>
      </c>
      <c r="G10" s="32">
        <v>465</v>
      </c>
      <c r="H10" s="33">
        <v>0.1</v>
      </c>
      <c r="I10" s="34">
        <v>1.06</v>
      </c>
      <c r="J10" s="33">
        <v>0.12</v>
      </c>
      <c r="K10" s="33">
        <v>0.53</v>
      </c>
      <c r="L10" s="33">
        <v>350.8</v>
      </c>
      <c r="M10" s="33">
        <v>398.1</v>
      </c>
      <c r="N10" s="33">
        <v>48.48</v>
      </c>
      <c r="O10" s="33">
        <v>0.99</v>
      </c>
    </row>
    <row r="11" spans="1:15" x14ac:dyDescent="0.25">
      <c r="A11" s="9">
        <v>386</v>
      </c>
      <c r="B11" s="20" t="s">
        <v>63</v>
      </c>
      <c r="C11" s="9">
        <v>200</v>
      </c>
      <c r="D11" s="17">
        <v>3.4</v>
      </c>
      <c r="E11" s="17">
        <v>2.8</v>
      </c>
      <c r="F11" s="17">
        <v>29.8</v>
      </c>
      <c r="G11" s="19">
        <v>105</v>
      </c>
      <c r="H11" s="17"/>
      <c r="I11" s="19"/>
      <c r="J11" s="17"/>
      <c r="K11" s="17"/>
      <c r="L11" s="17"/>
      <c r="M11" s="17"/>
      <c r="N11" s="17"/>
      <c r="O11" s="17"/>
    </row>
    <row r="12" spans="1:15" x14ac:dyDescent="0.25">
      <c r="A12" s="9">
        <v>338</v>
      </c>
      <c r="B12" s="20" t="s">
        <v>104</v>
      </c>
      <c r="C12" s="9">
        <v>230</v>
      </c>
      <c r="D12" s="9">
        <v>1.54</v>
      </c>
      <c r="E12" s="9">
        <v>1.63</v>
      </c>
      <c r="F12" s="9">
        <v>9.36</v>
      </c>
      <c r="G12" s="18">
        <v>56</v>
      </c>
      <c r="H12" s="17">
        <v>0.02</v>
      </c>
      <c r="I12" s="19">
        <v>0.72</v>
      </c>
      <c r="J12" s="17">
        <v>0.01</v>
      </c>
      <c r="K12" s="17">
        <v>0</v>
      </c>
      <c r="L12" s="17">
        <v>63.6</v>
      </c>
      <c r="M12" s="17">
        <v>50.76</v>
      </c>
      <c r="N12" s="17">
        <v>10.08</v>
      </c>
      <c r="O12" s="17">
        <v>0.62</v>
      </c>
    </row>
    <row r="13" spans="1:15" x14ac:dyDescent="0.25">
      <c r="A13" s="9"/>
      <c r="B13" s="20" t="s">
        <v>31</v>
      </c>
      <c r="C13" s="9">
        <v>30</v>
      </c>
      <c r="D13" s="9">
        <v>2</v>
      </c>
      <c r="E13" s="9">
        <v>0.7</v>
      </c>
      <c r="F13" s="9">
        <v>13.7</v>
      </c>
      <c r="G13" s="18">
        <v>70.5</v>
      </c>
      <c r="H13" s="17"/>
      <c r="I13" s="19"/>
      <c r="J13" s="17"/>
      <c r="K13" s="17"/>
      <c r="L13" s="17"/>
      <c r="M13" s="17"/>
      <c r="N13" s="17"/>
      <c r="O13" s="17"/>
    </row>
    <row r="14" spans="1:15" x14ac:dyDescent="0.25">
      <c r="A14" s="9"/>
      <c r="B14" s="22" t="s">
        <v>34</v>
      </c>
      <c r="C14" s="9">
        <f>SUM(C9:C13)</f>
        <v>705</v>
      </c>
      <c r="D14" s="23">
        <f t="shared" ref="D14:O14" si="0">SUM(D9:D12)</f>
        <v>32.26</v>
      </c>
      <c r="E14" s="23">
        <f t="shared" si="0"/>
        <v>30.08</v>
      </c>
      <c r="F14" s="23">
        <f t="shared" si="0"/>
        <v>99.7</v>
      </c>
      <c r="G14" s="24">
        <f t="shared" si="0"/>
        <v>759</v>
      </c>
      <c r="H14" s="25">
        <f t="shared" si="0"/>
        <v>0.17</v>
      </c>
      <c r="I14" s="26">
        <f t="shared" si="0"/>
        <v>2.02</v>
      </c>
      <c r="J14" s="25">
        <f t="shared" si="0"/>
        <v>0.16</v>
      </c>
      <c r="K14" s="25">
        <f t="shared" si="0"/>
        <v>0.55000000000000004</v>
      </c>
      <c r="L14" s="25">
        <f t="shared" si="0"/>
        <v>571</v>
      </c>
      <c r="M14" s="25">
        <f t="shared" si="0"/>
        <v>555.36</v>
      </c>
      <c r="N14" s="25">
        <f t="shared" si="0"/>
        <v>75.959999999999994</v>
      </c>
      <c r="O14" s="25">
        <f t="shared" si="0"/>
        <v>2.37</v>
      </c>
    </row>
    <row r="15" spans="1:15" x14ac:dyDescent="0.25">
      <c r="A15" s="9"/>
      <c r="B15" s="23" t="s">
        <v>29</v>
      </c>
      <c r="C15" s="9"/>
      <c r="D15" s="9"/>
      <c r="E15" s="9"/>
      <c r="F15" s="9"/>
      <c r="G15" s="18"/>
      <c r="H15" s="17"/>
      <c r="I15" s="19"/>
      <c r="J15" s="17"/>
      <c r="K15" s="17"/>
      <c r="L15" s="17"/>
      <c r="M15" s="17"/>
      <c r="N15" s="17"/>
      <c r="O15" s="17"/>
    </row>
    <row r="16" spans="1:15" x14ac:dyDescent="0.25">
      <c r="A16" s="11">
        <v>70</v>
      </c>
      <c r="B16" s="41" t="s">
        <v>102</v>
      </c>
      <c r="C16" s="33">
        <v>60</v>
      </c>
      <c r="D16" s="33">
        <f>C16*0.011</f>
        <v>0.65999999999999992</v>
      </c>
      <c r="E16" s="33">
        <f>C16*0.002</f>
        <v>0.12</v>
      </c>
      <c r="F16" s="33">
        <f>C16*0.038</f>
        <v>2.2799999999999998</v>
      </c>
      <c r="G16" s="34">
        <f>C16*0.24</f>
        <v>14.399999999999999</v>
      </c>
      <c r="H16" s="33">
        <f>C16*0.0006</f>
        <v>3.5999999999999997E-2</v>
      </c>
      <c r="I16" s="34">
        <f>C16*0.25</f>
        <v>15</v>
      </c>
      <c r="J16" s="33">
        <v>0</v>
      </c>
      <c r="K16" s="33">
        <f>C16*0.0004</f>
        <v>2.4E-2</v>
      </c>
      <c r="L16" s="33">
        <f>C16*0.14</f>
        <v>8.4</v>
      </c>
      <c r="M16" s="33">
        <f>C16*0.26</f>
        <v>15.600000000000001</v>
      </c>
      <c r="N16" s="33">
        <f>C16*0.2</f>
        <v>12</v>
      </c>
      <c r="O16" s="33">
        <f>C16*0.009</f>
        <v>0.53999999999999992</v>
      </c>
    </row>
    <row r="17" spans="1:15" ht="38.25" x14ac:dyDescent="0.25">
      <c r="A17" s="11" t="s">
        <v>70</v>
      </c>
      <c r="B17" s="53" t="s">
        <v>69</v>
      </c>
      <c r="C17" s="11">
        <v>250</v>
      </c>
      <c r="D17" s="11">
        <f>C17*0.00968</f>
        <v>2.42</v>
      </c>
      <c r="E17" s="11">
        <f>C17*0.0174</f>
        <v>4.3499999999999996</v>
      </c>
      <c r="F17" s="11">
        <f>C17*0.06312</f>
        <v>15.78</v>
      </c>
      <c r="G17" s="96">
        <f>C17*0.452</f>
        <v>113</v>
      </c>
      <c r="H17" s="33">
        <f>C17*0.00016</f>
        <v>0.04</v>
      </c>
      <c r="I17" s="34">
        <f>C17*0.00756</f>
        <v>1.89</v>
      </c>
      <c r="J17" s="33">
        <f>C17*0.00008</f>
        <v>0.02</v>
      </c>
      <c r="K17" s="33">
        <f>C17*0.00008</f>
        <v>0.02</v>
      </c>
      <c r="L17" s="33">
        <f>C17*0.05528</f>
        <v>13.82</v>
      </c>
      <c r="M17" s="33">
        <f>C17*0.1228</f>
        <v>30.700000000000003</v>
      </c>
      <c r="N17" s="33">
        <f>C17*0.03388</f>
        <v>8.4700000000000006</v>
      </c>
      <c r="O17" s="33">
        <f>C17*0.00204</f>
        <v>0.51</v>
      </c>
    </row>
    <row r="18" spans="1:15" ht="39" x14ac:dyDescent="0.25">
      <c r="A18" s="11">
        <v>294</v>
      </c>
      <c r="B18" s="3" t="s">
        <v>73</v>
      </c>
      <c r="C18" s="11">
        <v>90</v>
      </c>
      <c r="D18" s="11">
        <f>C18*0.25</f>
        <v>22.5</v>
      </c>
      <c r="E18" s="11">
        <f>C18*0.1432</f>
        <v>12.888</v>
      </c>
      <c r="F18" s="11">
        <f>C18*0.1642</f>
        <v>14.778</v>
      </c>
      <c r="G18" s="32">
        <f>C18*2.96</f>
        <v>266.39999999999998</v>
      </c>
      <c r="H18" s="33">
        <f>C18*0.0012</f>
        <v>0.10799999999999998</v>
      </c>
      <c r="I18" s="34">
        <v>0</v>
      </c>
      <c r="J18" s="33">
        <f>C18*0.001</f>
        <v>0.09</v>
      </c>
      <c r="K18" s="33">
        <f>C18*0.0016</f>
        <v>0.14400000000000002</v>
      </c>
      <c r="L18" s="33">
        <f>C18*0.3054</f>
        <v>27.486000000000001</v>
      </c>
      <c r="M18" s="33">
        <f>C18*2.3024</f>
        <v>207.21600000000001</v>
      </c>
      <c r="N18" s="33">
        <f>C18*0.3314</f>
        <v>29.825999999999997</v>
      </c>
      <c r="O18" s="33">
        <f>C18*0.0242</f>
        <v>2.1779999999999999</v>
      </c>
    </row>
    <row r="19" spans="1:15" ht="51.75" x14ac:dyDescent="0.25">
      <c r="A19" s="11">
        <v>139</v>
      </c>
      <c r="B19" s="54" t="s">
        <v>74</v>
      </c>
      <c r="C19" s="11">
        <v>150</v>
      </c>
      <c r="D19" s="11">
        <f>C19*0.0237</f>
        <v>3.5549999999999997</v>
      </c>
      <c r="E19" s="11">
        <f>C19*0.0302</f>
        <v>4.53</v>
      </c>
      <c r="F19" s="11">
        <f>C19*0.1006</f>
        <v>15.09</v>
      </c>
      <c r="G19" s="32">
        <f>C19*0.77</f>
        <v>115.5</v>
      </c>
      <c r="H19" s="33">
        <f>C19*0.0004</f>
        <v>6.0000000000000005E-2</v>
      </c>
      <c r="I19" s="34">
        <f>C19*0.5288</f>
        <v>79.320000000000007</v>
      </c>
      <c r="J19" s="33">
        <f>C19*0.0002</f>
        <v>3.0000000000000002E-2</v>
      </c>
      <c r="K19" s="33">
        <f>C19*0.0005</f>
        <v>7.4999999999999997E-2</v>
      </c>
      <c r="L19" s="33">
        <f>C19*0.6207</f>
        <v>93.105000000000004</v>
      </c>
      <c r="M19" s="33">
        <f>C19*0.4221</f>
        <v>63.314999999999998</v>
      </c>
      <c r="N19" s="33">
        <f>C19*0.2131</f>
        <v>31.965000000000003</v>
      </c>
      <c r="O19" s="33">
        <f>C19*0.0084</f>
        <v>1.26</v>
      </c>
    </row>
    <row r="20" spans="1:15" ht="26.25" x14ac:dyDescent="0.25">
      <c r="A20" s="11" t="s">
        <v>111</v>
      </c>
      <c r="B20" s="50" t="s">
        <v>112</v>
      </c>
      <c r="C20" s="9">
        <v>200</v>
      </c>
      <c r="D20" s="9">
        <v>0.41</v>
      </c>
      <c r="E20" s="9">
        <v>0</v>
      </c>
      <c r="F20" s="9">
        <v>25.16</v>
      </c>
      <c r="G20" s="18">
        <v>98</v>
      </c>
      <c r="H20" s="17">
        <v>0.03</v>
      </c>
      <c r="I20" s="19">
        <v>0</v>
      </c>
      <c r="J20" s="17">
        <v>0</v>
      </c>
      <c r="K20" s="17">
        <v>0</v>
      </c>
      <c r="L20" s="17">
        <v>18.600000000000001</v>
      </c>
      <c r="M20" s="17">
        <v>29.67</v>
      </c>
      <c r="N20" s="17">
        <v>9.66</v>
      </c>
      <c r="O20" s="17">
        <v>0.72</v>
      </c>
    </row>
    <row r="21" spans="1:15" x14ac:dyDescent="0.25">
      <c r="A21" s="9"/>
      <c r="B21" s="20" t="s">
        <v>26</v>
      </c>
      <c r="C21" s="9">
        <v>35</v>
      </c>
      <c r="D21" s="9">
        <v>2.31</v>
      </c>
      <c r="E21" s="9">
        <v>0.39</v>
      </c>
      <c r="F21" s="9">
        <v>14.35</v>
      </c>
      <c r="G21" s="18">
        <v>72.099999999999994</v>
      </c>
      <c r="H21" s="17"/>
      <c r="I21" s="19"/>
      <c r="J21" s="17"/>
      <c r="K21" s="17"/>
      <c r="L21" s="17"/>
      <c r="M21" s="17"/>
      <c r="N21" s="17"/>
      <c r="O21" s="17"/>
    </row>
    <row r="22" spans="1:15" x14ac:dyDescent="0.25">
      <c r="A22" s="9"/>
      <c r="B22" s="20" t="s">
        <v>31</v>
      </c>
      <c r="C22" s="9">
        <v>30</v>
      </c>
      <c r="D22" s="9">
        <v>2</v>
      </c>
      <c r="E22" s="9">
        <v>0.7</v>
      </c>
      <c r="F22" s="9">
        <v>13.7</v>
      </c>
      <c r="G22" s="18">
        <v>70.5</v>
      </c>
      <c r="H22" s="17"/>
      <c r="I22" s="19"/>
      <c r="J22" s="17"/>
      <c r="K22" s="17"/>
      <c r="L22" s="17"/>
      <c r="M22" s="17"/>
      <c r="N22" s="17"/>
      <c r="O22" s="17"/>
    </row>
    <row r="23" spans="1:15" x14ac:dyDescent="0.25">
      <c r="A23" s="9">
        <v>389</v>
      </c>
      <c r="B23" s="20" t="s">
        <v>105</v>
      </c>
      <c r="C23" s="9">
        <v>200</v>
      </c>
      <c r="D23" s="9">
        <v>0</v>
      </c>
      <c r="E23" s="9">
        <v>0</v>
      </c>
      <c r="F23" s="9">
        <v>20.2</v>
      </c>
      <c r="G23" s="18">
        <v>84.8</v>
      </c>
      <c r="H23" s="17">
        <v>0.02</v>
      </c>
      <c r="I23" s="19">
        <v>4</v>
      </c>
      <c r="J23" s="28">
        <v>0</v>
      </c>
      <c r="K23" s="17">
        <v>0</v>
      </c>
      <c r="L23" s="17">
        <v>14</v>
      </c>
      <c r="M23" s="17">
        <v>14</v>
      </c>
      <c r="N23" s="17">
        <v>8</v>
      </c>
      <c r="O23" s="17">
        <v>2.8</v>
      </c>
    </row>
    <row r="24" spans="1:15" x14ac:dyDescent="0.25">
      <c r="A24" s="9"/>
      <c r="B24" s="22" t="s">
        <v>34</v>
      </c>
      <c r="C24" s="9">
        <f>SUM(C16:C23)</f>
        <v>1015</v>
      </c>
      <c r="D24" s="23">
        <f t="shared" ref="D24:O24" si="1">SUM(D16:D23)</f>
        <v>33.854999999999997</v>
      </c>
      <c r="E24" s="23">
        <f t="shared" si="1"/>
        <v>22.978000000000002</v>
      </c>
      <c r="F24" s="23">
        <f t="shared" si="1"/>
        <v>121.33799999999999</v>
      </c>
      <c r="G24" s="24">
        <f t="shared" si="1"/>
        <v>834.69999999999993</v>
      </c>
      <c r="H24" s="25">
        <f t="shared" si="1"/>
        <v>0.29400000000000004</v>
      </c>
      <c r="I24" s="26">
        <f t="shared" si="1"/>
        <v>100.21000000000001</v>
      </c>
      <c r="J24" s="25">
        <f t="shared" si="1"/>
        <v>0.14000000000000001</v>
      </c>
      <c r="K24" s="25">
        <f t="shared" si="1"/>
        <v>0.26300000000000001</v>
      </c>
      <c r="L24" s="25">
        <f t="shared" si="1"/>
        <v>175.411</v>
      </c>
      <c r="M24" s="25">
        <f t="shared" si="1"/>
        <v>360.50100000000003</v>
      </c>
      <c r="N24" s="25">
        <f t="shared" si="1"/>
        <v>99.920999999999992</v>
      </c>
      <c r="O24" s="25">
        <f t="shared" si="1"/>
        <v>8.0079999999999991</v>
      </c>
    </row>
    <row r="25" spans="1:15" x14ac:dyDescent="0.25">
      <c r="A25" s="9"/>
      <c r="B25" s="22" t="s">
        <v>33</v>
      </c>
      <c r="C25" s="9">
        <f>C14+C24</f>
        <v>1720</v>
      </c>
      <c r="D25" s="23">
        <f t="shared" ref="D25:O25" si="2">D14+D24</f>
        <v>66.114999999999995</v>
      </c>
      <c r="E25" s="23">
        <f t="shared" si="2"/>
        <v>53.058</v>
      </c>
      <c r="F25" s="23">
        <f t="shared" si="2"/>
        <v>221.03800000000001</v>
      </c>
      <c r="G25" s="24">
        <f t="shared" si="2"/>
        <v>1593.6999999999998</v>
      </c>
      <c r="H25" s="25">
        <f t="shared" si="2"/>
        <v>0.46400000000000008</v>
      </c>
      <c r="I25" s="26">
        <f t="shared" si="2"/>
        <v>102.23</v>
      </c>
      <c r="J25" s="25">
        <f t="shared" si="2"/>
        <v>0.30000000000000004</v>
      </c>
      <c r="K25" s="25">
        <f t="shared" si="2"/>
        <v>0.81300000000000006</v>
      </c>
      <c r="L25" s="25">
        <f t="shared" si="2"/>
        <v>746.41100000000006</v>
      </c>
      <c r="M25" s="25">
        <f t="shared" si="2"/>
        <v>915.8610000000001</v>
      </c>
      <c r="N25" s="25">
        <f t="shared" si="2"/>
        <v>175.88099999999997</v>
      </c>
      <c r="O25" s="25">
        <f t="shared" si="2"/>
        <v>10.378</v>
      </c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activeCell="C26" sqref="C26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5.75" x14ac:dyDescent="0.25">
      <c r="F1" s="52" t="s">
        <v>0</v>
      </c>
      <c r="G1" s="1"/>
      <c r="H1" s="2"/>
    </row>
    <row r="2" spans="1:15" ht="15.75" x14ac:dyDescent="0.25">
      <c r="A2" s="6" t="s">
        <v>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75" x14ac:dyDescent="0.25">
      <c r="A4" s="5" t="s">
        <v>3</v>
      </c>
      <c r="B4" s="6" t="s">
        <v>99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58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45" customHeight="1" x14ac:dyDescent="0.25">
      <c r="A6" s="106" t="s">
        <v>5</v>
      </c>
      <c r="B6" s="107" t="s">
        <v>6</v>
      </c>
      <c r="C6" s="106" t="s">
        <v>7</v>
      </c>
      <c r="D6" s="103" t="s">
        <v>8</v>
      </c>
      <c r="E6" s="104"/>
      <c r="F6" s="105"/>
      <c r="G6" s="109" t="s">
        <v>12</v>
      </c>
      <c r="H6" s="103" t="s">
        <v>13</v>
      </c>
      <c r="I6" s="104"/>
      <c r="J6" s="104"/>
      <c r="K6" s="105"/>
      <c r="L6" s="103" t="s">
        <v>18</v>
      </c>
      <c r="M6" s="104"/>
      <c r="N6" s="104"/>
      <c r="O6" s="105"/>
    </row>
    <row r="7" spans="1:15" x14ac:dyDescent="0.25">
      <c r="A7" s="106"/>
      <c r="B7" s="108"/>
      <c r="C7" s="106"/>
      <c r="D7" s="9" t="s">
        <v>9</v>
      </c>
      <c r="E7" s="9" t="s">
        <v>10</v>
      </c>
      <c r="F7" s="9" t="s">
        <v>11</v>
      </c>
      <c r="G7" s="110"/>
      <c r="H7" s="9" t="s">
        <v>14</v>
      </c>
      <c r="I7" s="72" t="s">
        <v>15</v>
      </c>
      <c r="J7" s="11" t="s">
        <v>16</v>
      </c>
      <c r="K7" s="12" t="s">
        <v>17</v>
      </c>
      <c r="L7" s="9" t="s">
        <v>19</v>
      </c>
      <c r="M7" s="9" t="s">
        <v>20</v>
      </c>
      <c r="N7" s="9" t="s">
        <v>21</v>
      </c>
      <c r="O7" s="9" t="s">
        <v>22</v>
      </c>
    </row>
    <row r="8" spans="1:15" ht="15.75" x14ac:dyDescent="0.25">
      <c r="A8" s="73"/>
      <c r="B8" s="57" t="s">
        <v>28</v>
      </c>
      <c r="C8" s="73"/>
      <c r="D8" s="9"/>
      <c r="E8" s="9"/>
      <c r="F8" s="9"/>
      <c r="G8" s="15"/>
      <c r="H8" s="9"/>
      <c r="I8" s="72"/>
      <c r="J8" s="11"/>
      <c r="K8" s="12"/>
      <c r="L8" s="9"/>
      <c r="M8" s="9"/>
      <c r="N8" s="9"/>
      <c r="O8" s="9"/>
    </row>
    <row r="9" spans="1:15" x14ac:dyDescent="0.25">
      <c r="A9" s="9">
        <v>3</v>
      </c>
      <c r="B9" s="16" t="s">
        <v>23</v>
      </c>
      <c r="C9" s="9">
        <v>50</v>
      </c>
      <c r="D9" s="17">
        <v>5.76</v>
      </c>
      <c r="E9" s="17">
        <v>5.25</v>
      </c>
      <c r="F9" s="17">
        <v>14.94</v>
      </c>
      <c r="G9" s="18">
        <v>133</v>
      </c>
      <c r="H9" s="17">
        <v>0.05</v>
      </c>
      <c r="I9" s="19">
        <v>0.24</v>
      </c>
      <c r="J9" s="17">
        <v>0.03</v>
      </c>
      <c r="K9" s="17">
        <v>0.02</v>
      </c>
      <c r="L9" s="17">
        <v>156.6</v>
      </c>
      <c r="M9" s="17">
        <v>106.5</v>
      </c>
      <c r="N9" s="17">
        <v>17.399999999999999</v>
      </c>
      <c r="O9" s="17">
        <v>0.76</v>
      </c>
    </row>
    <row r="10" spans="1:15" ht="51.75" x14ac:dyDescent="0.25">
      <c r="A10" s="12">
        <v>223</v>
      </c>
      <c r="B10" s="3" t="s">
        <v>46</v>
      </c>
      <c r="C10" s="11">
        <v>225</v>
      </c>
      <c r="D10" s="11">
        <v>23.1</v>
      </c>
      <c r="E10" s="11">
        <v>19.84</v>
      </c>
      <c r="F10" s="11">
        <v>45.6</v>
      </c>
      <c r="G10" s="74">
        <v>465</v>
      </c>
      <c r="H10" s="33">
        <v>0.1</v>
      </c>
      <c r="I10" s="34">
        <v>1.06</v>
      </c>
      <c r="J10" s="33">
        <v>0.12</v>
      </c>
      <c r="K10" s="33">
        <v>0.53</v>
      </c>
      <c r="L10" s="33">
        <v>350.8</v>
      </c>
      <c r="M10" s="33">
        <v>398.1</v>
      </c>
      <c r="N10" s="33">
        <v>48.48</v>
      </c>
      <c r="O10" s="33">
        <v>0.99</v>
      </c>
    </row>
    <row r="11" spans="1:15" x14ac:dyDescent="0.25">
      <c r="A11" s="9">
        <v>386</v>
      </c>
      <c r="B11" s="20" t="s">
        <v>63</v>
      </c>
      <c r="C11" s="9">
        <v>200</v>
      </c>
      <c r="D11" s="17">
        <v>3.4</v>
      </c>
      <c r="E11" s="17">
        <v>2.8</v>
      </c>
      <c r="F11" s="17">
        <v>29.8</v>
      </c>
      <c r="G11" s="19">
        <v>105</v>
      </c>
      <c r="H11" s="17"/>
      <c r="I11" s="19"/>
      <c r="J11" s="17"/>
      <c r="K11" s="17"/>
      <c r="L11" s="17"/>
      <c r="M11" s="17"/>
      <c r="N11" s="17"/>
      <c r="O11" s="17"/>
    </row>
    <row r="12" spans="1:15" x14ac:dyDescent="0.25">
      <c r="A12" s="9">
        <v>338</v>
      </c>
      <c r="B12" s="20" t="s">
        <v>104</v>
      </c>
      <c r="C12" s="9">
        <v>230</v>
      </c>
      <c r="D12" s="9">
        <v>1.54</v>
      </c>
      <c r="E12" s="9">
        <v>1.63</v>
      </c>
      <c r="F12" s="9">
        <v>9.36</v>
      </c>
      <c r="G12" s="18">
        <v>56</v>
      </c>
      <c r="H12" s="17">
        <v>0.02</v>
      </c>
      <c r="I12" s="19">
        <v>0.72</v>
      </c>
      <c r="J12" s="17">
        <v>0.01</v>
      </c>
      <c r="K12" s="17">
        <v>0</v>
      </c>
      <c r="L12" s="17">
        <v>63.6</v>
      </c>
      <c r="M12" s="17">
        <v>50.76</v>
      </c>
      <c r="N12" s="17">
        <v>10.08</v>
      </c>
      <c r="O12" s="17">
        <v>0.62</v>
      </c>
    </row>
    <row r="13" spans="1:15" x14ac:dyDescent="0.25">
      <c r="A13" s="9"/>
      <c r="B13" s="20" t="s">
        <v>31</v>
      </c>
      <c r="C13" s="9">
        <v>30</v>
      </c>
      <c r="D13" s="9">
        <v>2</v>
      </c>
      <c r="E13" s="9">
        <v>0.7</v>
      </c>
      <c r="F13" s="9">
        <v>13.7</v>
      </c>
      <c r="G13" s="18">
        <v>70.5</v>
      </c>
      <c r="H13" s="17"/>
      <c r="I13" s="19"/>
      <c r="J13" s="17"/>
      <c r="K13" s="17"/>
      <c r="L13" s="17"/>
      <c r="M13" s="17"/>
      <c r="N13" s="17"/>
      <c r="O13" s="17"/>
    </row>
    <row r="14" spans="1:15" x14ac:dyDescent="0.25">
      <c r="A14" s="9"/>
      <c r="B14" s="22" t="s">
        <v>34</v>
      </c>
      <c r="C14" s="9">
        <f>SUM(C9:C13)</f>
        <v>735</v>
      </c>
      <c r="D14" s="23">
        <f t="shared" ref="D14:O14" si="0">SUM(D9:D12)</f>
        <v>33.799999999999997</v>
      </c>
      <c r="E14" s="23">
        <f t="shared" si="0"/>
        <v>29.52</v>
      </c>
      <c r="F14" s="23">
        <f t="shared" si="0"/>
        <v>99.7</v>
      </c>
      <c r="G14" s="24">
        <f t="shared" si="0"/>
        <v>759</v>
      </c>
      <c r="H14" s="25">
        <f t="shared" si="0"/>
        <v>0.17</v>
      </c>
      <c r="I14" s="26">
        <f t="shared" si="0"/>
        <v>2.02</v>
      </c>
      <c r="J14" s="25">
        <f t="shared" si="0"/>
        <v>0.16</v>
      </c>
      <c r="K14" s="25">
        <f t="shared" si="0"/>
        <v>0.55000000000000004</v>
      </c>
      <c r="L14" s="25">
        <f t="shared" si="0"/>
        <v>571</v>
      </c>
      <c r="M14" s="25">
        <f t="shared" si="0"/>
        <v>555.36</v>
      </c>
      <c r="N14" s="25">
        <f t="shared" si="0"/>
        <v>75.959999999999994</v>
      </c>
      <c r="O14" s="25">
        <f t="shared" si="0"/>
        <v>2.37</v>
      </c>
    </row>
    <row r="15" spans="1:15" x14ac:dyDescent="0.25">
      <c r="A15" s="9"/>
      <c r="B15" s="23" t="s">
        <v>29</v>
      </c>
      <c r="C15" s="9"/>
      <c r="D15" s="9"/>
      <c r="E15" s="9"/>
      <c r="F15" s="9"/>
      <c r="G15" s="18"/>
      <c r="H15" s="17"/>
      <c r="I15" s="19"/>
      <c r="J15" s="17"/>
      <c r="K15" s="17"/>
      <c r="L15" s="17"/>
      <c r="M15" s="17"/>
      <c r="N15" s="17"/>
      <c r="O15" s="17"/>
    </row>
    <row r="16" spans="1:15" x14ac:dyDescent="0.25">
      <c r="A16" s="11">
        <v>70</v>
      </c>
      <c r="B16" s="41" t="s">
        <v>102</v>
      </c>
      <c r="C16" s="33">
        <v>100</v>
      </c>
      <c r="D16" s="33">
        <f>C16*0.011</f>
        <v>1.0999999999999999</v>
      </c>
      <c r="E16" s="33">
        <f>C16*0.002</f>
        <v>0.2</v>
      </c>
      <c r="F16" s="33">
        <f>C16*0.038</f>
        <v>3.8</v>
      </c>
      <c r="G16" s="34">
        <f>C16*0.24</f>
        <v>24</v>
      </c>
      <c r="H16" s="33">
        <f>C16*0.0006</f>
        <v>0.06</v>
      </c>
      <c r="I16" s="34">
        <f>C16*0.25</f>
        <v>25</v>
      </c>
      <c r="J16" s="33">
        <v>0</v>
      </c>
      <c r="K16" s="33">
        <f>C16*0.0004</f>
        <v>0.04</v>
      </c>
      <c r="L16" s="33">
        <f>C16*0.14</f>
        <v>14.000000000000002</v>
      </c>
      <c r="M16" s="33">
        <f>C16*0.26</f>
        <v>26</v>
      </c>
      <c r="N16" s="33">
        <f>C16*0.2</f>
        <v>20</v>
      </c>
      <c r="O16" s="33">
        <f>C16*0.009</f>
        <v>0.89999999999999991</v>
      </c>
    </row>
    <row r="17" spans="1:15" ht="38.25" x14ac:dyDescent="0.25">
      <c r="A17" s="11" t="s">
        <v>70</v>
      </c>
      <c r="B17" s="53" t="s">
        <v>69</v>
      </c>
      <c r="C17" s="11">
        <v>250</v>
      </c>
      <c r="D17" s="11">
        <f>C17*0.00968</f>
        <v>2.42</v>
      </c>
      <c r="E17" s="11">
        <f>C17*0.0174</f>
        <v>4.3499999999999996</v>
      </c>
      <c r="F17" s="11">
        <f>C17*0.06312</f>
        <v>15.78</v>
      </c>
      <c r="G17" s="96">
        <f>C17*0.452</f>
        <v>113</v>
      </c>
      <c r="H17" s="33">
        <f>C17*0.00016</f>
        <v>0.04</v>
      </c>
      <c r="I17" s="34">
        <f>C17*0.00756</f>
        <v>1.89</v>
      </c>
      <c r="J17" s="33">
        <f>C17*0.00008</f>
        <v>0.02</v>
      </c>
      <c r="K17" s="33">
        <f>C17*0.00008</f>
        <v>0.02</v>
      </c>
      <c r="L17" s="33">
        <f>C17*0.05528</f>
        <v>13.82</v>
      </c>
      <c r="M17" s="33">
        <f>C17*0.1228</f>
        <v>30.700000000000003</v>
      </c>
      <c r="N17" s="33">
        <f>C17*0.03388</f>
        <v>8.4700000000000006</v>
      </c>
      <c r="O17" s="33">
        <f>C17*0.00204</f>
        <v>0.51</v>
      </c>
    </row>
    <row r="18" spans="1:15" ht="39" x14ac:dyDescent="0.25">
      <c r="A18" s="11">
        <v>294</v>
      </c>
      <c r="B18" s="3" t="s">
        <v>73</v>
      </c>
      <c r="C18" s="11">
        <v>100</v>
      </c>
      <c r="D18" s="11">
        <f>C18*0.25</f>
        <v>25</v>
      </c>
      <c r="E18" s="11">
        <f>C18*0.1432</f>
        <v>14.32</v>
      </c>
      <c r="F18" s="11">
        <f>C18*0.1642</f>
        <v>16.420000000000002</v>
      </c>
      <c r="G18" s="97">
        <f>C18*2.96</f>
        <v>296</v>
      </c>
      <c r="H18" s="33">
        <f>C18*0.0012</f>
        <v>0.12</v>
      </c>
      <c r="I18" s="34">
        <v>0</v>
      </c>
      <c r="J18" s="33">
        <f>C18*0.001</f>
        <v>0.1</v>
      </c>
      <c r="K18" s="33">
        <f>C18*0.0016</f>
        <v>0.16</v>
      </c>
      <c r="L18" s="33">
        <f>C18*0.3054</f>
        <v>30.54</v>
      </c>
      <c r="M18" s="33">
        <f>C18*2.3024</f>
        <v>230.24</v>
      </c>
      <c r="N18" s="33">
        <f>C18*0.3314</f>
        <v>33.14</v>
      </c>
      <c r="O18" s="33">
        <f>C18*0.0242</f>
        <v>2.42</v>
      </c>
    </row>
    <row r="19" spans="1:15" ht="51.75" x14ac:dyDescent="0.25">
      <c r="A19" s="11">
        <v>139</v>
      </c>
      <c r="B19" s="54" t="s">
        <v>74</v>
      </c>
      <c r="C19" s="11">
        <v>180</v>
      </c>
      <c r="D19" s="11">
        <f>C19*0.0237</f>
        <v>4.266</v>
      </c>
      <c r="E19" s="11">
        <f>C19*0.0302</f>
        <v>5.4359999999999999</v>
      </c>
      <c r="F19" s="11">
        <f>C19*0.1006</f>
        <v>18.108000000000001</v>
      </c>
      <c r="G19" s="74">
        <f>C19*0.77</f>
        <v>138.6</v>
      </c>
      <c r="H19" s="33">
        <f>C19*0.0004</f>
        <v>7.2000000000000008E-2</v>
      </c>
      <c r="I19" s="34">
        <f>C19*0.5288</f>
        <v>95.184000000000012</v>
      </c>
      <c r="J19" s="33">
        <f>C19*0.0002</f>
        <v>3.6000000000000004E-2</v>
      </c>
      <c r="K19" s="33">
        <f>C19*0.0005</f>
        <v>0.09</v>
      </c>
      <c r="L19" s="33">
        <f>C19*0.6207</f>
        <v>111.726</v>
      </c>
      <c r="M19" s="33">
        <f>C19*0.4221</f>
        <v>75.977999999999994</v>
      </c>
      <c r="N19" s="33">
        <f>C19*0.2131</f>
        <v>38.358000000000004</v>
      </c>
      <c r="O19" s="33">
        <f>C19*0.0084</f>
        <v>1.512</v>
      </c>
    </row>
    <row r="20" spans="1:15" ht="26.25" x14ac:dyDescent="0.25">
      <c r="A20" s="11" t="s">
        <v>111</v>
      </c>
      <c r="B20" s="50" t="s">
        <v>112</v>
      </c>
      <c r="C20" s="9">
        <v>200</v>
      </c>
      <c r="D20" s="9">
        <v>0.41</v>
      </c>
      <c r="E20" s="9">
        <v>0</v>
      </c>
      <c r="F20" s="9">
        <v>25.16</v>
      </c>
      <c r="G20" s="18">
        <v>98</v>
      </c>
      <c r="H20" s="17">
        <v>0.03</v>
      </c>
      <c r="I20" s="19">
        <v>0</v>
      </c>
      <c r="J20" s="17">
        <v>0</v>
      </c>
      <c r="K20" s="17">
        <v>0</v>
      </c>
      <c r="L20" s="17">
        <v>18.600000000000001</v>
      </c>
      <c r="M20" s="17">
        <v>29.67</v>
      </c>
      <c r="N20" s="17">
        <v>9.66</v>
      </c>
      <c r="O20" s="17">
        <v>0.72</v>
      </c>
    </row>
    <row r="21" spans="1:15" x14ac:dyDescent="0.25">
      <c r="A21" s="9"/>
      <c r="B21" s="20" t="s">
        <v>26</v>
      </c>
      <c r="C21" s="9">
        <v>35</v>
      </c>
      <c r="D21" s="9">
        <v>2.31</v>
      </c>
      <c r="E21" s="9">
        <v>0.39</v>
      </c>
      <c r="F21" s="9">
        <v>14.35</v>
      </c>
      <c r="G21" s="18">
        <v>72.099999999999994</v>
      </c>
      <c r="H21" s="17"/>
      <c r="I21" s="19"/>
      <c r="J21" s="17"/>
      <c r="K21" s="17"/>
      <c r="L21" s="17"/>
      <c r="M21" s="17"/>
      <c r="N21" s="17"/>
      <c r="O21" s="17"/>
    </row>
    <row r="22" spans="1:15" x14ac:dyDescent="0.25">
      <c r="A22" s="9"/>
      <c r="B22" s="20" t="s">
        <v>31</v>
      </c>
      <c r="C22" s="9">
        <v>30</v>
      </c>
      <c r="D22" s="9">
        <v>2</v>
      </c>
      <c r="E22" s="9">
        <v>0.7</v>
      </c>
      <c r="F22" s="9">
        <v>13.7</v>
      </c>
      <c r="G22" s="18">
        <v>70.5</v>
      </c>
      <c r="H22" s="17"/>
      <c r="I22" s="19"/>
      <c r="J22" s="17"/>
      <c r="K22" s="17"/>
      <c r="L22" s="17"/>
      <c r="M22" s="17"/>
      <c r="N22" s="17"/>
      <c r="O22" s="17"/>
    </row>
    <row r="23" spans="1:15" x14ac:dyDescent="0.25">
      <c r="A23" s="9">
        <v>389</v>
      </c>
      <c r="B23" s="20" t="s">
        <v>105</v>
      </c>
      <c r="C23" s="9">
        <v>200</v>
      </c>
      <c r="D23" s="9">
        <v>0</v>
      </c>
      <c r="E23" s="9">
        <v>0</v>
      </c>
      <c r="F23" s="9">
        <v>20.2</v>
      </c>
      <c r="G23" s="18">
        <v>84.8</v>
      </c>
      <c r="H23" s="17">
        <v>0.02</v>
      </c>
      <c r="I23" s="19">
        <v>4</v>
      </c>
      <c r="J23" s="28">
        <v>0</v>
      </c>
      <c r="K23" s="17">
        <v>0</v>
      </c>
      <c r="L23" s="17">
        <v>14</v>
      </c>
      <c r="M23" s="17">
        <v>14</v>
      </c>
      <c r="N23" s="17">
        <v>8</v>
      </c>
      <c r="O23" s="17">
        <v>2.8</v>
      </c>
    </row>
    <row r="24" spans="1:15" x14ac:dyDescent="0.25">
      <c r="A24" s="9"/>
      <c r="B24" s="22" t="s">
        <v>34</v>
      </c>
      <c r="C24" s="9">
        <f>SUM(C16:C23)</f>
        <v>1095</v>
      </c>
      <c r="D24" s="23">
        <f t="shared" ref="D24:O24" si="1">SUM(D16:D23)</f>
        <v>37.506</v>
      </c>
      <c r="E24" s="23">
        <f t="shared" si="1"/>
        <v>25.396000000000001</v>
      </c>
      <c r="F24" s="23">
        <f t="shared" si="1"/>
        <v>127.518</v>
      </c>
      <c r="G24" s="24">
        <f t="shared" si="1"/>
        <v>897</v>
      </c>
      <c r="H24" s="25">
        <f t="shared" si="1"/>
        <v>0.34200000000000008</v>
      </c>
      <c r="I24" s="26">
        <f t="shared" si="1"/>
        <v>126.07400000000001</v>
      </c>
      <c r="J24" s="25">
        <f t="shared" si="1"/>
        <v>0.15600000000000003</v>
      </c>
      <c r="K24" s="25">
        <f t="shared" si="1"/>
        <v>0.31</v>
      </c>
      <c r="L24" s="25">
        <f t="shared" si="1"/>
        <v>202.68600000000001</v>
      </c>
      <c r="M24" s="25">
        <f t="shared" si="1"/>
        <v>406.58800000000002</v>
      </c>
      <c r="N24" s="25">
        <f t="shared" si="1"/>
        <v>117.628</v>
      </c>
      <c r="O24" s="25">
        <f t="shared" si="1"/>
        <v>8.8620000000000001</v>
      </c>
    </row>
    <row r="25" spans="1:15" x14ac:dyDescent="0.25">
      <c r="A25" s="9"/>
      <c r="B25" s="22" t="s">
        <v>33</v>
      </c>
      <c r="C25" s="9">
        <f>C14+C24</f>
        <v>1830</v>
      </c>
      <c r="D25" s="23">
        <f t="shared" ref="D25:O25" si="2">D14+D24</f>
        <v>71.305999999999997</v>
      </c>
      <c r="E25" s="23">
        <f t="shared" si="2"/>
        <v>54.915999999999997</v>
      </c>
      <c r="F25" s="23">
        <f t="shared" si="2"/>
        <v>227.21800000000002</v>
      </c>
      <c r="G25" s="24">
        <f t="shared" si="2"/>
        <v>1656</v>
      </c>
      <c r="H25" s="25">
        <f t="shared" si="2"/>
        <v>0.51200000000000012</v>
      </c>
      <c r="I25" s="26">
        <f t="shared" si="2"/>
        <v>128.09400000000002</v>
      </c>
      <c r="J25" s="25">
        <f t="shared" si="2"/>
        <v>0.31600000000000006</v>
      </c>
      <c r="K25" s="25">
        <f t="shared" si="2"/>
        <v>0.8600000000000001</v>
      </c>
      <c r="L25" s="25">
        <f t="shared" si="2"/>
        <v>773.68600000000004</v>
      </c>
      <c r="M25" s="25">
        <f t="shared" si="2"/>
        <v>961.94800000000009</v>
      </c>
      <c r="N25" s="25">
        <f t="shared" si="2"/>
        <v>193.58799999999999</v>
      </c>
      <c r="O25" s="25">
        <f t="shared" si="2"/>
        <v>11.231999999999999</v>
      </c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7" zoomScaleNormal="100" workbookViewId="0">
      <selection activeCell="B20" sqref="B20"/>
    </sheetView>
  </sheetViews>
  <sheetFormatPr defaultRowHeight="15" x14ac:dyDescent="0.25"/>
  <cols>
    <col min="1" max="1" width="6.5703125" customWidth="1"/>
    <col min="2" max="2" width="33.5703125" customWidth="1"/>
    <col min="3" max="4" width="7.140625" customWidth="1"/>
    <col min="5" max="5" width="7.42578125" customWidth="1"/>
    <col min="6" max="6" width="7.140625" customWidth="1"/>
    <col min="7" max="7" width="7.85546875" customWidth="1"/>
    <col min="8" max="9" width="7.140625" customWidth="1"/>
    <col min="10" max="11" width="7.28515625" customWidth="1"/>
  </cols>
  <sheetData>
    <row r="1" spans="1:15" ht="18.75" x14ac:dyDescent="0.25">
      <c r="A1" s="47"/>
      <c r="B1" s="47"/>
      <c r="C1" s="47"/>
      <c r="D1" s="47"/>
      <c r="E1" s="47"/>
      <c r="F1" s="59" t="s">
        <v>0</v>
      </c>
      <c r="G1" s="47"/>
      <c r="H1" s="60"/>
      <c r="I1" s="47"/>
      <c r="J1" s="47"/>
      <c r="K1" s="47"/>
      <c r="L1" s="47"/>
      <c r="M1" s="47"/>
      <c r="N1" s="47"/>
      <c r="O1" s="47"/>
    </row>
    <row r="2" spans="1:15" x14ac:dyDescent="0.25">
      <c r="A2" s="47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x14ac:dyDescent="0.25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5.75" x14ac:dyDescent="0.25">
      <c r="A4" s="47" t="s">
        <v>3</v>
      </c>
      <c r="B4" s="6" t="s">
        <v>99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45" customHeight="1" x14ac:dyDescent="0.25">
      <c r="A6" s="114" t="s">
        <v>5</v>
      </c>
      <c r="B6" s="115" t="s">
        <v>6</v>
      </c>
      <c r="C6" s="114" t="s">
        <v>7</v>
      </c>
      <c r="D6" s="111" t="s">
        <v>8</v>
      </c>
      <c r="E6" s="112"/>
      <c r="F6" s="113"/>
      <c r="G6" s="117" t="s">
        <v>12</v>
      </c>
      <c r="H6" s="111" t="s">
        <v>13</v>
      </c>
      <c r="I6" s="112"/>
      <c r="J6" s="112"/>
      <c r="K6" s="113"/>
      <c r="L6" s="111" t="s">
        <v>18</v>
      </c>
      <c r="M6" s="112"/>
      <c r="N6" s="112"/>
      <c r="O6" s="113"/>
    </row>
    <row r="7" spans="1:15" x14ac:dyDescent="0.25">
      <c r="A7" s="114"/>
      <c r="B7" s="116"/>
      <c r="C7" s="114"/>
      <c r="D7" s="11" t="s">
        <v>9</v>
      </c>
      <c r="E7" s="11" t="s">
        <v>10</v>
      </c>
      <c r="F7" s="11" t="s">
        <v>11</v>
      </c>
      <c r="G7" s="118"/>
      <c r="H7" s="11" t="s">
        <v>14</v>
      </c>
      <c r="I7" s="32" t="s">
        <v>15</v>
      </c>
      <c r="J7" s="11" t="s">
        <v>16</v>
      </c>
      <c r="K7" s="11" t="s">
        <v>17</v>
      </c>
      <c r="L7" s="11" t="s">
        <v>19</v>
      </c>
      <c r="M7" s="11" t="s">
        <v>20</v>
      </c>
      <c r="N7" s="11" t="s">
        <v>21</v>
      </c>
      <c r="O7" s="11" t="s">
        <v>22</v>
      </c>
    </row>
    <row r="8" spans="1:15" ht="15.75" x14ac:dyDescent="0.25">
      <c r="A8" s="61"/>
      <c r="B8" s="57" t="s">
        <v>28</v>
      </c>
      <c r="C8" s="61"/>
      <c r="D8" s="11"/>
      <c r="E8" s="11"/>
      <c r="F8" s="11"/>
      <c r="G8" s="62"/>
      <c r="H8" s="11"/>
      <c r="I8" s="32"/>
      <c r="J8" s="11"/>
      <c r="K8" s="11"/>
      <c r="L8" s="11"/>
      <c r="M8" s="11"/>
      <c r="N8" s="11"/>
      <c r="O8" s="11"/>
    </row>
    <row r="9" spans="1:15" ht="38.25" x14ac:dyDescent="0.25">
      <c r="A9" s="11">
        <v>50</v>
      </c>
      <c r="B9" s="63" t="s">
        <v>75</v>
      </c>
      <c r="C9" s="11">
        <v>60</v>
      </c>
      <c r="D9" s="33">
        <f>C9*0.011</f>
        <v>0.65999999999999992</v>
      </c>
      <c r="E9" s="33">
        <f>C9*0.0516666</f>
        <v>3.099996</v>
      </c>
      <c r="F9" s="33">
        <f>C9*0.1198333</f>
        <v>7.1899980000000001</v>
      </c>
      <c r="G9" s="32">
        <f>C9*0.9833333</f>
        <v>58.999997999999998</v>
      </c>
      <c r="H9" s="33">
        <f>C9*0.0001666</f>
        <v>9.9960000000000014E-3</v>
      </c>
      <c r="I9" s="34">
        <f>C9*0.1113333</f>
        <v>6.6799979999999994</v>
      </c>
      <c r="J9" s="33">
        <v>0</v>
      </c>
      <c r="K9" s="33">
        <v>0</v>
      </c>
      <c r="L9" s="33">
        <f>C9*0.29066666</f>
        <v>17.4399996</v>
      </c>
      <c r="M9" s="33">
        <f>C9*0.3165</f>
        <v>18.990000000000002</v>
      </c>
      <c r="N9" s="33">
        <f>C9*0.171</f>
        <v>10.260000000000002</v>
      </c>
      <c r="O9" s="33">
        <f>C9*0.015333333</f>
        <v>0.91999997999999994</v>
      </c>
    </row>
    <row r="10" spans="1:15" ht="38.25" x14ac:dyDescent="0.25">
      <c r="A10" s="11">
        <v>261</v>
      </c>
      <c r="B10" s="64" t="s">
        <v>76</v>
      </c>
      <c r="C10" s="11" t="s">
        <v>79</v>
      </c>
      <c r="D10" s="11">
        <v>12.66</v>
      </c>
      <c r="E10" s="11">
        <v>18.760000000000002</v>
      </c>
      <c r="F10" s="11">
        <v>3.81</v>
      </c>
      <c r="G10" s="32">
        <v>159</v>
      </c>
      <c r="H10" s="33">
        <v>0.19</v>
      </c>
      <c r="I10" s="34">
        <v>28.86</v>
      </c>
      <c r="J10" s="33">
        <v>5.54</v>
      </c>
      <c r="K10" s="33">
        <v>1.4</v>
      </c>
      <c r="L10" s="33">
        <v>25.62</v>
      </c>
      <c r="M10" s="33">
        <v>223.29</v>
      </c>
      <c r="N10" s="33">
        <v>14.8</v>
      </c>
      <c r="O10" s="33">
        <v>4.72</v>
      </c>
    </row>
    <row r="11" spans="1:15" ht="30.75" customHeight="1" x14ac:dyDescent="0.25">
      <c r="A11" s="11">
        <v>171</v>
      </c>
      <c r="B11" s="65" t="s">
        <v>49</v>
      </c>
      <c r="C11" s="11">
        <v>150</v>
      </c>
      <c r="D11" s="11">
        <f>C11*0.0583</f>
        <v>8.7449999999999992</v>
      </c>
      <c r="E11" s="11">
        <f>C11*0.0441</f>
        <v>6.6150000000000002</v>
      </c>
      <c r="F11" s="11">
        <f>C11*0.2871</f>
        <v>43.065000000000005</v>
      </c>
      <c r="G11" s="32">
        <f>C11*0.18</f>
        <v>27</v>
      </c>
      <c r="H11" s="33">
        <f>C11*0.0019</f>
        <v>0.28499999999999998</v>
      </c>
      <c r="I11" s="34">
        <v>0</v>
      </c>
      <c r="J11" s="33">
        <f>C11*0.0002</f>
        <v>3.0000000000000002E-2</v>
      </c>
      <c r="K11" s="33">
        <f>C11*0.0009</f>
        <v>0.13500000000000001</v>
      </c>
      <c r="L11" s="33">
        <f>C11*0.1149</f>
        <v>17.234999999999999</v>
      </c>
      <c r="M11" s="33">
        <f>C11*1.3831</f>
        <v>207.465</v>
      </c>
      <c r="N11" s="33">
        <f>C11*0.925</f>
        <v>138.75</v>
      </c>
      <c r="O11" s="33">
        <f>C11*0.0311</f>
        <v>4.665</v>
      </c>
    </row>
    <row r="12" spans="1:15" x14ac:dyDescent="0.25">
      <c r="A12" s="11">
        <v>377</v>
      </c>
      <c r="B12" s="64" t="s">
        <v>77</v>
      </c>
      <c r="C12" s="11">
        <v>200</v>
      </c>
      <c r="D12" s="11">
        <v>1.4</v>
      </c>
      <c r="E12" s="11">
        <v>1.6</v>
      </c>
      <c r="F12" s="11">
        <v>22.31</v>
      </c>
      <c r="G12" s="32">
        <v>105</v>
      </c>
      <c r="H12" s="33">
        <v>0.02</v>
      </c>
      <c r="I12" s="34">
        <v>0.65</v>
      </c>
      <c r="J12" s="33">
        <v>0.01</v>
      </c>
      <c r="K12" s="33">
        <v>7.0000000000000007E-2</v>
      </c>
      <c r="L12" s="33">
        <v>60.4</v>
      </c>
      <c r="M12" s="33">
        <v>45</v>
      </c>
      <c r="N12" s="33">
        <v>7</v>
      </c>
      <c r="O12" s="33">
        <v>0.09</v>
      </c>
    </row>
    <row r="13" spans="1:15" x14ac:dyDescent="0.25">
      <c r="A13" s="11"/>
      <c r="B13" s="70" t="s">
        <v>78</v>
      </c>
      <c r="C13" s="11">
        <v>200</v>
      </c>
      <c r="D13" s="11">
        <v>1.54</v>
      </c>
      <c r="E13" s="11">
        <v>1.63</v>
      </c>
      <c r="F13" s="11">
        <v>9.36</v>
      </c>
      <c r="G13" s="86">
        <v>56</v>
      </c>
      <c r="H13" s="33">
        <v>0.02</v>
      </c>
      <c r="I13" s="34">
        <v>0.72</v>
      </c>
      <c r="J13" s="33">
        <v>0.01</v>
      </c>
      <c r="K13" s="33">
        <v>0</v>
      </c>
      <c r="L13" s="33">
        <v>63.6</v>
      </c>
      <c r="M13" s="33">
        <v>50.76</v>
      </c>
      <c r="N13" s="33">
        <v>10.08</v>
      </c>
      <c r="O13" s="33">
        <v>0.62</v>
      </c>
    </row>
    <row r="14" spans="1:15" x14ac:dyDescent="0.25">
      <c r="A14" s="11"/>
      <c r="B14" s="66" t="s">
        <v>26</v>
      </c>
      <c r="C14" s="11">
        <v>35</v>
      </c>
      <c r="D14" s="11">
        <v>2.31</v>
      </c>
      <c r="E14" s="11">
        <v>0.39</v>
      </c>
      <c r="F14" s="11">
        <v>14.35</v>
      </c>
      <c r="G14" s="32">
        <v>72.099999999999994</v>
      </c>
      <c r="H14" s="33"/>
      <c r="I14" s="34"/>
      <c r="J14" s="33"/>
      <c r="K14" s="33"/>
      <c r="L14" s="33"/>
      <c r="M14" s="33"/>
      <c r="N14" s="33"/>
      <c r="O14" s="33"/>
    </row>
    <row r="15" spans="1:15" x14ac:dyDescent="0.25">
      <c r="A15" s="11"/>
      <c r="B15" s="20" t="s">
        <v>31</v>
      </c>
      <c r="C15" s="9">
        <v>30</v>
      </c>
      <c r="D15" s="9">
        <v>2</v>
      </c>
      <c r="E15" s="9">
        <v>0.7</v>
      </c>
      <c r="F15" s="9">
        <v>13.7</v>
      </c>
      <c r="G15" s="18">
        <v>70.5</v>
      </c>
      <c r="H15" s="33"/>
      <c r="I15" s="34"/>
      <c r="J15" s="33"/>
      <c r="K15" s="33"/>
      <c r="L15" s="33"/>
      <c r="M15" s="33"/>
      <c r="N15" s="33"/>
      <c r="O15" s="33"/>
    </row>
    <row r="16" spans="1:15" x14ac:dyDescent="0.25">
      <c r="A16" s="11"/>
      <c r="B16" s="67" t="s">
        <v>34</v>
      </c>
      <c r="C16" s="11">
        <v>775</v>
      </c>
      <c r="D16" s="31">
        <f t="shared" ref="D16:O16" si="0">SUM(D9:D14)</f>
        <v>27.314999999999994</v>
      </c>
      <c r="E16" s="31">
        <f t="shared" si="0"/>
        <v>32.094996000000002</v>
      </c>
      <c r="F16" s="31">
        <f t="shared" si="0"/>
        <v>100.084998</v>
      </c>
      <c r="G16" s="55">
        <f t="shared" si="0"/>
        <v>478.09999800000003</v>
      </c>
      <c r="H16" s="42">
        <f t="shared" si="0"/>
        <v>0.52499600000000002</v>
      </c>
      <c r="I16" s="56">
        <f t="shared" si="0"/>
        <v>36.909997999999995</v>
      </c>
      <c r="J16" s="42">
        <f t="shared" si="0"/>
        <v>5.59</v>
      </c>
      <c r="K16" s="42">
        <f t="shared" si="0"/>
        <v>1.605</v>
      </c>
      <c r="L16" s="42">
        <f t="shared" si="0"/>
        <v>184.29499959999998</v>
      </c>
      <c r="M16" s="42">
        <f t="shared" si="0"/>
        <v>545.505</v>
      </c>
      <c r="N16" s="42">
        <f t="shared" si="0"/>
        <v>180.89000000000001</v>
      </c>
      <c r="O16" s="42">
        <f t="shared" si="0"/>
        <v>11.014999979999999</v>
      </c>
    </row>
    <row r="17" spans="1:15" x14ac:dyDescent="0.25">
      <c r="A17" s="11"/>
      <c r="B17" s="31" t="s">
        <v>29</v>
      </c>
      <c r="C17" s="11"/>
      <c r="D17" s="11"/>
      <c r="E17" s="11"/>
      <c r="F17" s="11"/>
      <c r="G17" s="32"/>
      <c r="H17" s="33"/>
      <c r="I17" s="34"/>
      <c r="J17" s="33"/>
      <c r="K17" s="33"/>
      <c r="L17" s="33"/>
      <c r="M17" s="33"/>
      <c r="N17" s="33"/>
      <c r="O17" s="33"/>
    </row>
    <row r="18" spans="1:15" ht="38.25" x14ac:dyDescent="0.25">
      <c r="A18" s="11">
        <v>34</v>
      </c>
      <c r="B18" s="68" t="s">
        <v>50</v>
      </c>
      <c r="C18" s="11">
        <v>60</v>
      </c>
      <c r="D18" s="11">
        <f>C18*0.025</f>
        <v>1.5</v>
      </c>
      <c r="E18" s="11">
        <f>C18*0.0725</f>
        <v>4.3499999999999996</v>
      </c>
      <c r="F18" s="11">
        <f>C18*0.0653333</f>
        <v>3.9199979999999996</v>
      </c>
      <c r="G18" s="32">
        <f>C18*1.015</f>
        <v>60.899999999999991</v>
      </c>
      <c r="H18" s="33">
        <f>C18*0.0005</f>
        <v>0.03</v>
      </c>
      <c r="I18" s="34">
        <f>C18*0.0733333</f>
        <v>4.3999980000000001</v>
      </c>
      <c r="J18" s="33">
        <f>C18*0.247</f>
        <v>14.82</v>
      </c>
      <c r="K18" s="33">
        <f>C18*0.0008</f>
        <v>4.8000000000000001E-2</v>
      </c>
      <c r="L18" s="33">
        <f>C18*0.2805</f>
        <v>16.830000000000002</v>
      </c>
      <c r="M18" s="33">
        <f>C18*0.53216666</f>
        <v>31.929999600000002</v>
      </c>
      <c r="N18" s="33">
        <f>C18*0.16933333</f>
        <v>10.1599998</v>
      </c>
      <c r="O18" s="33">
        <f>C18*0.009166666</f>
        <v>0.54999996000000007</v>
      </c>
    </row>
    <row r="19" spans="1:15" ht="51" customHeight="1" x14ac:dyDescent="0.25">
      <c r="A19" s="11">
        <v>82</v>
      </c>
      <c r="B19" s="53" t="s">
        <v>81</v>
      </c>
      <c r="C19" s="11">
        <v>205</v>
      </c>
      <c r="D19" s="11">
        <f>C19*0.00824</f>
        <v>1.6892000000000003</v>
      </c>
      <c r="E19" s="11">
        <f>C19*0.02108</f>
        <v>4.3214000000000006</v>
      </c>
      <c r="F19" s="11">
        <f>C19*0.05204</f>
        <v>10.668200000000001</v>
      </c>
      <c r="G19" s="32">
        <f>C19*0.432</f>
        <v>88.56</v>
      </c>
      <c r="H19" s="33">
        <f>C19*0.0002</f>
        <v>4.1000000000000002E-2</v>
      </c>
      <c r="I19" s="34">
        <f>C19*0.08184</f>
        <v>16.777200000000001</v>
      </c>
      <c r="J19" s="33">
        <f>C19*0.00012</f>
        <v>2.46E-2</v>
      </c>
      <c r="K19" s="33">
        <f>C19*0.0002</f>
        <v>4.1000000000000002E-2</v>
      </c>
      <c r="L19" s="33">
        <f>C19*0.17156</f>
        <v>35.169799999999995</v>
      </c>
      <c r="M19" s="33">
        <f>C19*0.222</f>
        <v>45.51</v>
      </c>
      <c r="N19" s="33">
        <f>C19*0.08932</f>
        <v>18.310600000000001</v>
      </c>
      <c r="O19" s="33">
        <f>C19*0.0048</f>
        <v>0.98399999999999987</v>
      </c>
    </row>
    <row r="20" spans="1:15" x14ac:dyDescent="0.25">
      <c r="A20" s="12">
        <v>227</v>
      </c>
      <c r="B20" s="20" t="s">
        <v>115</v>
      </c>
      <c r="C20" s="9">
        <v>95</v>
      </c>
      <c r="D20" s="9">
        <v>8.0299999999999994</v>
      </c>
      <c r="E20" s="9">
        <v>15.13</v>
      </c>
      <c r="F20" s="9">
        <v>0.1</v>
      </c>
      <c r="G20" s="18">
        <v>160.5</v>
      </c>
      <c r="H20" s="17">
        <v>0.05</v>
      </c>
      <c r="I20" s="19">
        <v>21.5</v>
      </c>
      <c r="J20" s="17">
        <v>0.05</v>
      </c>
      <c r="K20" s="17">
        <v>0.05</v>
      </c>
      <c r="L20" s="17">
        <v>8.75</v>
      </c>
      <c r="M20" s="17">
        <v>81.099999999999994</v>
      </c>
      <c r="N20" s="17">
        <v>10.67</v>
      </c>
      <c r="O20" s="17">
        <v>0.46</v>
      </c>
    </row>
    <row r="21" spans="1:15" ht="30" x14ac:dyDescent="0.25">
      <c r="A21" s="12">
        <v>203</v>
      </c>
      <c r="B21" s="21" t="s">
        <v>24</v>
      </c>
      <c r="C21" s="9">
        <v>150</v>
      </c>
      <c r="D21" s="9">
        <f>C21*0.0365</f>
        <v>5.4749999999999996</v>
      </c>
      <c r="E21" s="9">
        <f>C21*0.0332</f>
        <v>4.9800000000000004</v>
      </c>
      <c r="F21" s="9">
        <f>C21*0.2325</f>
        <v>34.875</v>
      </c>
      <c r="G21" s="18">
        <f>C21*1.41</f>
        <v>211.5</v>
      </c>
      <c r="H21" s="17">
        <f>C21*0.0008</f>
        <v>0.12000000000000001</v>
      </c>
      <c r="I21" s="19">
        <v>0</v>
      </c>
      <c r="J21" s="17">
        <f>C21*0.0002</f>
        <v>3.0000000000000002E-2</v>
      </c>
      <c r="K21" s="17">
        <f>C21*0.0003</f>
        <v>4.4999999999999998E-2</v>
      </c>
      <c r="L21" s="17">
        <f>C21*0.273</f>
        <v>40.950000000000003</v>
      </c>
      <c r="M21" s="17">
        <f>C21*0.4004</f>
        <v>60.059999999999995</v>
      </c>
      <c r="N21" s="17">
        <f>C21*0.1639</f>
        <v>24.584999999999997</v>
      </c>
      <c r="O21" s="17">
        <f>C21*0.0066</f>
        <v>0.99</v>
      </c>
    </row>
    <row r="22" spans="1:15" ht="26.25" x14ac:dyDescent="0.25">
      <c r="A22" s="11">
        <v>349</v>
      </c>
      <c r="B22" s="3" t="s">
        <v>82</v>
      </c>
      <c r="C22" s="11">
        <v>200</v>
      </c>
      <c r="D22" s="11">
        <v>0</v>
      </c>
      <c r="E22" s="11">
        <v>0</v>
      </c>
      <c r="F22" s="11">
        <v>9.98</v>
      </c>
      <c r="G22" s="32">
        <v>104</v>
      </c>
      <c r="H22" s="33">
        <v>0</v>
      </c>
      <c r="I22" s="34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</row>
    <row r="23" spans="1:15" x14ac:dyDescent="0.25">
      <c r="A23" s="11"/>
      <c r="B23" s="20" t="s">
        <v>26</v>
      </c>
      <c r="C23" s="9">
        <v>35</v>
      </c>
      <c r="D23" s="9">
        <v>2.31</v>
      </c>
      <c r="E23" s="9">
        <v>0.39</v>
      </c>
      <c r="F23" s="9">
        <v>14.35</v>
      </c>
      <c r="G23" s="18">
        <v>72.099999999999994</v>
      </c>
      <c r="H23" s="33"/>
      <c r="I23" s="34"/>
      <c r="J23" s="33"/>
      <c r="K23" s="33"/>
      <c r="L23" s="33"/>
      <c r="M23" s="33"/>
      <c r="N23" s="33"/>
      <c r="O23" s="33"/>
    </row>
    <row r="24" spans="1:15" x14ac:dyDescent="0.25">
      <c r="A24" s="11"/>
      <c r="B24" s="20" t="s">
        <v>31</v>
      </c>
      <c r="C24" s="9">
        <v>30</v>
      </c>
      <c r="D24" s="9">
        <v>2</v>
      </c>
      <c r="E24" s="9">
        <v>0.7</v>
      </c>
      <c r="F24" s="9">
        <v>13.7</v>
      </c>
      <c r="G24" s="18">
        <v>70.5</v>
      </c>
      <c r="H24" s="33"/>
      <c r="I24" s="34"/>
      <c r="J24" s="33"/>
      <c r="K24" s="33"/>
      <c r="L24" s="33"/>
      <c r="M24" s="33"/>
      <c r="N24" s="33"/>
      <c r="O24" s="33"/>
    </row>
    <row r="25" spans="1:15" x14ac:dyDescent="0.25">
      <c r="A25" s="11">
        <v>338</v>
      </c>
      <c r="B25" s="66" t="s">
        <v>83</v>
      </c>
      <c r="C25" s="11">
        <v>100</v>
      </c>
      <c r="D25" s="11">
        <v>0.4</v>
      </c>
      <c r="E25" s="11">
        <v>0.3</v>
      </c>
      <c r="F25" s="11">
        <v>10.3</v>
      </c>
      <c r="G25" s="32">
        <v>47</v>
      </c>
      <c r="H25" s="33">
        <v>0.02</v>
      </c>
      <c r="I25" s="34">
        <v>5</v>
      </c>
      <c r="J25" s="33">
        <v>0</v>
      </c>
      <c r="K25" s="33">
        <v>0.03</v>
      </c>
      <c r="L25" s="33">
        <v>19</v>
      </c>
      <c r="M25" s="33">
        <v>16</v>
      </c>
      <c r="N25" s="33">
        <v>12</v>
      </c>
      <c r="O25" s="33">
        <v>2.2999999999999998</v>
      </c>
    </row>
    <row r="26" spans="1:15" x14ac:dyDescent="0.25">
      <c r="A26" s="11"/>
      <c r="B26" s="67" t="s">
        <v>34</v>
      </c>
      <c r="C26" s="11">
        <f>SUM(C18:C25)</f>
        <v>875</v>
      </c>
      <c r="D26" s="31">
        <f t="shared" ref="D26:O26" si="1">SUM(D18:D25)</f>
        <v>21.404199999999999</v>
      </c>
      <c r="E26" s="31">
        <f t="shared" si="1"/>
        <v>30.171400000000002</v>
      </c>
      <c r="F26" s="31">
        <f t="shared" si="1"/>
        <v>97.893197999999998</v>
      </c>
      <c r="G26" s="55">
        <f t="shared" si="1"/>
        <v>815.06000000000006</v>
      </c>
      <c r="H26" s="42">
        <f t="shared" si="1"/>
        <v>0.26100000000000001</v>
      </c>
      <c r="I26" s="56">
        <f t="shared" si="1"/>
        <v>47.677198000000004</v>
      </c>
      <c r="J26" s="42">
        <f t="shared" si="1"/>
        <v>14.9246</v>
      </c>
      <c r="K26" s="42">
        <f t="shared" si="1"/>
        <v>0.214</v>
      </c>
      <c r="L26" s="42">
        <f t="shared" si="1"/>
        <v>120.6998</v>
      </c>
      <c r="M26" s="42">
        <f t="shared" si="1"/>
        <v>234.59999959999999</v>
      </c>
      <c r="N26" s="42">
        <f t="shared" si="1"/>
        <v>75.725599799999998</v>
      </c>
      <c r="O26" s="42">
        <f t="shared" si="1"/>
        <v>5.2839999600000001</v>
      </c>
    </row>
    <row r="27" spans="1:15" x14ac:dyDescent="0.25">
      <c r="A27" s="11"/>
      <c r="B27" s="67" t="s">
        <v>33</v>
      </c>
      <c r="C27" s="11">
        <f>C16+C26</f>
        <v>1650</v>
      </c>
      <c r="D27" s="31">
        <f t="shared" ref="D27:O27" si="2">D16+D26</f>
        <v>48.719199999999994</v>
      </c>
      <c r="E27" s="31">
        <f t="shared" si="2"/>
        <v>62.266396</v>
      </c>
      <c r="F27" s="31">
        <f t="shared" si="2"/>
        <v>197.978196</v>
      </c>
      <c r="G27" s="55">
        <f t="shared" si="2"/>
        <v>1293.1599980000001</v>
      </c>
      <c r="H27" s="42">
        <f t="shared" si="2"/>
        <v>0.78599600000000003</v>
      </c>
      <c r="I27" s="56">
        <f t="shared" si="2"/>
        <v>84.587196000000006</v>
      </c>
      <c r="J27" s="42">
        <f t="shared" si="2"/>
        <v>20.514600000000002</v>
      </c>
      <c r="K27" s="42">
        <f t="shared" si="2"/>
        <v>1.819</v>
      </c>
      <c r="L27" s="42">
        <f t="shared" si="2"/>
        <v>304.99479959999996</v>
      </c>
      <c r="M27" s="42">
        <f t="shared" si="2"/>
        <v>780.10499959999993</v>
      </c>
      <c r="N27" s="42">
        <f t="shared" si="2"/>
        <v>256.61559980000004</v>
      </c>
      <c r="O27" s="42">
        <f t="shared" si="2"/>
        <v>16.298999939999998</v>
      </c>
    </row>
  </sheetData>
  <mergeCells count="7">
    <mergeCell ref="L6:O6"/>
    <mergeCell ref="A6:A7"/>
    <mergeCell ref="B6:B7"/>
    <mergeCell ref="C6:C7"/>
    <mergeCell ref="D6:F6"/>
    <mergeCell ref="G6:G7"/>
    <mergeCell ref="H6:K6"/>
  </mergeCells>
  <pageMargins left="0.31496062992125984" right="0.19685039370078741" top="0.15748031496062992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Пн1</vt:lpstr>
      <vt:lpstr>Пн1 (2)</vt:lpstr>
      <vt:lpstr>Вт1</vt:lpstr>
      <vt:lpstr>Вт1 (2)</vt:lpstr>
      <vt:lpstr>Ср1</vt:lpstr>
      <vt:lpstr>Ср1 (2)</vt:lpstr>
      <vt:lpstr>Чт1</vt:lpstr>
      <vt:lpstr>Чт1 (2)</vt:lpstr>
      <vt:lpstr>Пт1</vt:lpstr>
      <vt:lpstr>Пт1 (2)</vt:lpstr>
      <vt:lpstr>Пн2</vt:lpstr>
      <vt:lpstr>Пн2 (2)</vt:lpstr>
      <vt:lpstr>Вт2</vt:lpstr>
      <vt:lpstr>Вт2 (2)</vt:lpstr>
      <vt:lpstr>Ср2</vt:lpstr>
      <vt:lpstr>Ср2 (2)</vt:lpstr>
      <vt:lpstr>Чт2</vt:lpstr>
      <vt:lpstr>Чт2 (2)</vt:lpstr>
      <vt:lpstr>Пт2</vt:lpstr>
      <vt:lpstr>Пт2 (2)</vt:lpstr>
      <vt:lpstr>Лист2</vt:lpstr>
      <vt:lpstr>Лист3</vt:lpstr>
      <vt:lpstr>Лист4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 bell</dc:creator>
  <cp:lastModifiedBy>Кабинет</cp:lastModifiedBy>
  <cp:lastPrinted>2024-09-16T04:37:16Z</cp:lastPrinted>
  <dcterms:created xsi:type="dcterms:W3CDTF">2021-03-21T08:13:55Z</dcterms:created>
  <dcterms:modified xsi:type="dcterms:W3CDTF">2024-09-16T04:42:44Z</dcterms:modified>
</cp:coreProperties>
</file>